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860" windowHeight="5835" activeTab="3"/>
  </bookViews>
  <sheets>
    <sheet name="Январь" sheetId="1" r:id="rId1"/>
    <sheet name="Февраль" sheetId="2" r:id="rId2"/>
    <sheet name="Март" sheetId="3" r:id="rId3"/>
    <sheet name="Апрель" sheetId="4" r:id="rId4"/>
    <sheet name="май1" sheetId="5" state="hidden" r:id="rId5"/>
  </sheets>
  <definedNames>
    <definedName name="_xlnm.Print_Titles" localSheetId="3">'Апрель'!$4:$5</definedName>
    <definedName name="_xlnm.Print_Titles" localSheetId="4">'май1'!$4:$5</definedName>
    <definedName name="_xlnm.Print_Titles" localSheetId="2">'Март'!$4:$5</definedName>
    <definedName name="_xlnm.Print_Titles" localSheetId="1">'Февраль'!$4:$5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<sst xmlns="http://schemas.openxmlformats.org/spreadsheetml/2006/main" count="790" uniqueCount="166">
  <si>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</si>
  <si>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</si>
  <si>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</si>
  <si>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</si>
  <si>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</si>
  <si>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</si>
  <si>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</si>
  <si>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</si>
  <si>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</si>
  <si>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</si>
  <si>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</si>
  <si>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</si>
  <si>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</si>
  <si>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</si>
  <si>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</si>
  <si>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</si>
  <si>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</si>
  <si>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</si>
  <si>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</si>
  <si>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</si>
  <si>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</si>
  <si>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</si>
  <si>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</si>
  <si>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</si>
  <si>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</si>
  <si>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</si>
  <si>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</si>
  <si>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</si>
  <si>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</si>
  <si>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</si>
  <si>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</si>
  <si>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</si>
  <si>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</si>
  <si>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</si>
  <si>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</si>
  <si>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</si>
  <si>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</si>
  <si>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</si>
  <si>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</si>
  <si>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</si>
  <si>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</si>
  <si>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</si>
  <si>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</si>
  <si>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</si>
  <si>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</si>
  <si>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</si>
  <si>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</si>
  <si>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</si>
  <si>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</si>
  <si>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</si>
  <si>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</si>
  <si>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</si>
  <si>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</si>
  <si>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</si>
  <si>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</si>
  <si>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</si>
  <si>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</si>
  <si>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</si>
  <si>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</si>
  <si>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</si>
  <si>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</si>
  <si>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</si>
  <si>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</si>
  <si>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</si>
  <si>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</si>
  <si>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</si>
  <si>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</si>
  <si>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</si>
  <si>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</si>
  <si>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</si>
  <si>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</si>
  <si>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</si>
  <si>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</si>
  <si>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</si>
  <si>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</si>
  <si>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</si>
  <si>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</si>
  <si>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</si>
  <si>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</si>
  <si>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</si>
  <si>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</si>
  <si>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</si>
  <si>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</si>
  <si>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</si>
  <si>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</si>
  <si>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</si>
  <si>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</si>
  <si>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</si>
  <si>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</si>
  <si>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</si>
  <si>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</si>
  <si>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</si>
  <si>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</si>
  <si>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</si>
  <si>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</si>
  <si>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</si>
  <si>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</si>
  <si>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</si>
  <si>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</si>
  <si>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</si>
  <si>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</si>
  <si>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</si>
  <si>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</si>
  <si>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 xml:space="preserve">Руководитель финансового управления администрации города Минусинска </t>
  </si>
  <si>
    <t>НАЛОГОВЫЕ И НЕНАЛОГОВЫЕ ДОХОДЫ</t>
  </si>
  <si>
    <t>Дополнительное образование детей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</si>
  <si>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</si>
  <si>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</si>
  <si>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</si>
  <si>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</si>
  <si>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</si>
  <si>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 xml:space="preserve"> - </t>
  </si>
  <si>
    <t xml:space="preserve"> -</t>
  </si>
  <si>
    <t>Прочие безвозмездные поступления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</si>
  <si>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</si>
  <si>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Охрана окружающей среды</t>
  </si>
  <si>
    <t xml:space="preserve"> - земельный налог по  возникшим до 1 января 2006 г.                  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</si>
  <si>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 (1 11 0501)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</si>
  <si>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 (1 11 0503)</t>
  </si>
  <si>
    <t xml:space="preserve"> -доходы от сдачи в аренду имущества, составляющего казну городских округов (за исключением земельных участков) (1 11 0507)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</si>
  <si>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(1 11 0700)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</si>
  <si>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(1 11 0900)</t>
  </si>
  <si>
    <t xml:space="preserve">   иные межбюджетные трансферты</t>
  </si>
  <si>
    <t>Профессиональная подготовка, переподготовка и повышение квалификации</t>
  </si>
  <si>
    <t>На 01.01.2020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</si>
  <si>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(1 11 0502)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</si>
  <si>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</si>
  <si>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</si>
  <si>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</si>
  <si>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</si>
  <si>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</si>
  <si>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</si>
  <si>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</si>
  <si>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</si>
  <si>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</si>
  <si>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Платежи, уплачиваемые в целях возмещения вреда</t>
  </si>
  <si>
    <t>Факт за аналогичный период 2019 г.</t>
  </si>
  <si>
    <t>Е.В. Гейль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</si>
  <si>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 (1 11 0530)</t>
  </si>
  <si>
    <t xml:space="preserve">И.о.руководителя финансового управления администрации города Минусинска </t>
  </si>
  <si>
    <t>Е.В.Гейль</t>
  </si>
  <si>
    <t>на 01 июня 2020 года</t>
  </si>
  <si>
    <t>План за 5 мес 2020 г.</t>
  </si>
  <si>
    <t>Охрана объектов растительного и животного мира и среды их обитания</t>
  </si>
  <si>
    <t>На 01.06.2020</t>
  </si>
  <si>
    <t xml:space="preserve"> - в части суммы налога, превышающей 650 000 рублей, относящейся к части налоговой базы, превышающей 5 000 000 рублей</t>
  </si>
  <si>
    <t xml:space="preserve"> - налог, взимаемый в связи с применением упрощенной системы налогообложения</t>
  </si>
  <si>
    <t xml:space="preserve"> -плата по соглашениям об установлении сервитута в отношении земельных государственная собственность на которые не разграничена (1 11 0530)</t>
  </si>
  <si>
    <t>На 01.02.2021</t>
  </si>
  <si>
    <t>-</t>
  </si>
  <si>
    <t>на 01 февраля 2022 года</t>
  </si>
  <si>
    <t>План за 1 мес 2022 г.</t>
  </si>
  <si>
    <t>Факт за аналогичный период 2021 г.</t>
  </si>
  <si>
    <t>На 01.02.2022</t>
  </si>
  <si>
    <t>План за 2 мес 2022 г.</t>
  </si>
  <si>
    <t>на 01 марта 2022 года</t>
  </si>
  <si>
    <t>На 01.03.2021</t>
  </si>
  <si>
    <t>На 01.03.2022</t>
  </si>
  <si>
    <t>План за 3 мес 2022 г.</t>
  </si>
  <si>
    <t>на 01 апреля 2022 года</t>
  </si>
  <si>
    <t>На 01.04.2022</t>
  </si>
  <si>
    <t>На 01.04.2021</t>
  </si>
  <si>
    <t>На 01.05.2021</t>
  </si>
  <si>
    <t>на 01 мая 2022 года</t>
  </si>
  <si>
    <t>План за 4 мес 2022 г.</t>
  </si>
  <si>
    <t>На 01.01.2022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</si>
</sst>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000000"/>
    <numFmt numFmtId="181" formatCode="#,##0.000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9" fontId="2" fillId="0" borderId="10" xfId="0" applyNumberFormat="1" applyFont="1" applyFill="1" applyBorder="1" applyAlignment="1">
      <alignment horizontal="center" vertical="center" wrapText="1"/>
    </xf>
    <xf numFmtId="179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9" fontId="2" fillId="0" borderId="0" xfId="0" applyNumberFormat="1" applyFont="1" applyFill="1" applyAlignment="1">
      <alignment/>
    </xf>
    <xf numFmtId="179" fontId="1" fillId="0" borderId="0" xfId="0" applyNumberFormat="1" applyFont="1" applyFill="1" applyAlignment="1" applyProtection="1">
      <alignment/>
      <protection locked="0"/>
    </xf>
    <xf numFmtId="179" fontId="2" fillId="0" borderId="0" xfId="0" applyNumberFormat="1" applyFont="1" applyFill="1" applyAlignment="1" applyProtection="1">
      <alignment/>
      <protection locked="0"/>
    </xf>
    <xf numFmtId="178" fontId="3" fillId="0" borderId="10" xfId="0" applyNumberFormat="1" applyFont="1" applyFill="1" applyBorder="1" applyAlignment="1" applyProtection="1">
      <alignment horizontal="center" vertical="top" wrapText="1"/>
      <protection/>
    </xf>
    <xf numFmtId="178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8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8" fontId="2" fillId="0" borderId="10" xfId="0" applyNumberFormat="1" applyFont="1" applyFill="1" applyBorder="1" applyAlignment="1" applyProtection="1">
      <alignment horizontal="center" vertical="top" wrapText="1"/>
      <protection/>
    </xf>
    <xf numFmtId="178" fontId="3" fillId="0" borderId="10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 applyProtection="1">
      <alignment horizontal="center"/>
      <protection locked="0"/>
    </xf>
    <xf numFmtId="179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 applyProtection="1">
      <alignment vertical="top" wrapText="1"/>
      <protection locked="0"/>
    </xf>
    <xf numFmtId="17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9" fontId="2" fillId="0" borderId="10" xfId="0" applyNumberFormat="1" applyFont="1" applyFill="1" applyBorder="1" applyAlignment="1" applyProtection="1">
      <alignment vertical="top" wrapText="1"/>
      <protection locked="0"/>
    </xf>
    <xf numFmtId="17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9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9" fontId="2" fillId="0" borderId="10" xfId="0" applyNumberFormat="1" applyFont="1" applyFill="1" applyBorder="1" applyAlignment="1">
      <alignment horizontal="center"/>
    </xf>
    <xf numFmtId="178" fontId="3" fillId="0" borderId="15" xfId="0" applyNumberFormat="1" applyFont="1" applyFill="1" applyBorder="1" applyAlignment="1">
      <alignment horizontal="center" vertical="top" wrapText="1"/>
    </xf>
    <xf numFmtId="178" fontId="3" fillId="0" borderId="15" xfId="0" applyNumberFormat="1" applyFont="1" applyFill="1" applyBorder="1" applyAlignment="1" applyProtection="1">
      <alignment horizontal="center" vertical="top" wrapText="1"/>
      <protection/>
    </xf>
    <xf numFmtId="178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 applyProtection="1">
      <alignment horizontal="center" vertical="top" wrapText="1"/>
      <protection/>
    </xf>
    <xf numFmtId="179" fontId="3" fillId="0" borderId="10" xfId="0" applyNumberFormat="1" applyFont="1" applyFill="1" applyBorder="1" applyAlignment="1">
      <alignment horizontal="left" vertical="top" wrapText="1"/>
    </xf>
    <xf numFmtId="179" fontId="3" fillId="0" borderId="10" xfId="0" applyNumberFormat="1" applyFont="1" applyFill="1" applyBorder="1" applyAlignment="1">
      <alignment horizontal="justify" vertical="top" wrapText="1"/>
    </xf>
    <xf numFmtId="179" fontId="3" fillId="0" borderId="15" xfId="0" applyNumberFormat="1" applyFont="1" applyFill="1" applyBorder="1" applyAlignment="1">
      <alignment vertical="top" wrapText="1"/>
    </xf>
    <xf numFmtId="179" fontId="3" fillId="0" borderId="16" xfId="0" applyNumberFormat="1" applyFont="1" applyFill="1" applyBorder="1" applyAlignment="1">
      <alignment vertical="top" wrapText="1"/>
    </xf>
    <xf numFmtId="179" fontId="3" fillId="0" borderId="15" xfId="0" applyNumberFormat="1" applyFont="1" applyFill="1" applyBorder="1" applyAlignment="1" applyProtection="1">
      <alignment horizontal="center" vertical="top" wrapText="1"/>
      <protection/>
    </xf>
    <xf numFmtId="179" fontId="2" fillId="0" borderId="10" xfId="0" applyNumberFormat="1" applyFont="1" applyFill="1" applyBorder="1" applyAlignment="1">
      <alignment vertical="top" wrapText="1"/>
    </xf>
    <xf numFmtId="179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79" fontId="3" fillId="0" borderId="10" xfId="0" applyNumberFormat="1" applyFont="1" applyFill="1" applyBorder="1" applyAlignment="1" applyProtection="1">
      <alignment vertical="justify" wrapText="1"/>
      <protection locked="0"/>
    </xf>
    <xf numFmtId="179" fontId="3" fillId="0" borderId="10" xfId="0" applyNumberFormat="1" applyFont="1" applyFill="1" applyBorder="1" applyAlignment="1">
      <alignment vertical="top" wrapText="1"/>
    </xf>
    <xf numFmtId="179" fontId="2" fillId="0" borderId="15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>
      <alignment horizontal="center" vertical="top" wrapText="1"/>
    </xf>
    <xf numFmtId="2" fontId="3" fillId="0" borderId="15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>
      <alignment horizontal="justify" vertical="top" wrapText="1"/>
    </xf>
    <xf numFmtId="178" fontId="3" fillId="0" borderId="17" xfId="0" applyNumberFormat="1" applyFont="1" applyFill="1" applyBorder="1" applyAlignment="1">
      <alignment horizontal="center" vertical="top" wrapText="1"/>
    </xf>
    <xf numFmtId="178" fontId="3" fillId="0" borderId="17" xfId="0" applyNumberFormat="1" applyFont="1" applyFill="1" applyBorder="1" applyAlignment="1" applyProtection="1">
      <alignment horizontal="center" vertical="top" wrapText="1"/>
      <protection/>
    </xf>
    <xf numFmtId="178" fontId="3" fillId="0" borderId="18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left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7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178" fontId="3" fillId="0" borderId="10" xfId="0" applyNumberFormat="1" applyFont="1" applyFill="1" applyBorder="1" applyAlignment="1" applyProtection="1">
      <alignment horizontal="center" wrapText="1"/>
      <protection/>
    </xf>
    <xf numFmtId="178" fontId="2" fillId="0" borderId="10" xfId="0" applyNumberFormat="1" applyFont="1" applyFill="1" applyBorder="1" applyAlignment="1">
      <alignment horizontal="center" wrapText="1"/>
    </xf>
    <xf numFmtId="4" fontId="2" fillId="0" borderId="19" xfId="0" applyNumberFormat="1" applyFont="1" applyFill="1" applyBorder="1" applyAlignment="1">
      <alignment horizontal="right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17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right"/>
    </xf>
    <xf numFmtId="179" fontId="3" fillId="0" borderId="21" xfId="0" applyNumberFormat="1" applyFont="1" applyFill="1" applyBorder="1" applyAlignment="1">
      <alignment horizontal="center" vertical="top" wrapText="1"/>
    </xf>
    <xf numFmtId="179" fontId="3" fillId="0" borderId="0" xfId="0" applyNumberFormat="1" applyFont="1" applyFill="1" applyBorder="1" applyAlignment="1">
      <alignment horizontal="center" vertical="top" wrapText="1"/>
    </xf>
    <xf numFmtId="179" fontId="2" fillId="0" borderId="22" xfId="0" applyNumberFormat="1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3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view="pageBreakPreview" zoomScaleSheetLayoutView="100" zoomScalePageLayoutView="0" workbookViewId="0" topLeftCell="A1">
      <pane xSplit="1" ySplit="6" topLeftCell="B11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31" sqref="C131"/>
    </sheetView>
  </sheetViews>
  <sheetFormatPr defaultColWidth="9.00390625" defaultRowHeight="12.75"/>
  <cols>
    <col min="1" max="1" width="44.875" style="22" customWidth="1"/>
    <col min="2" max="2" width="13.00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hidden="1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9" t="s">
        <v>102</v>
      </c>
      <c r="B1" s="89"/>
      <c r="C1" s="89"/>
      <c r="D1" s="89"/>
      <c r="E1" s="89"/>
      <c r="F1" s="89"/>
      <c r="G1" s="89"/>
      <c r="H1" s="89"/>
      <c r="I1" s="31"/>
    </row>
    <row r="2" spans="1:9" ht="15">
      <c r="A2" s="90" t="s">
        <v>150</v>
      </c>
      <c r="B2" s="90"/>
      <c r="C2" s="90"/>
      <c r="D2" s="90"/>
      <c r="E2" s="90"/>
      <c r="F2" s="90"/>
      <c r="G2" s="90"/>
      <c r="H2" s="90"/>
      <c r="I2" s="32"/>
    </row>
    <row r="3" spans="1:9" ht="5.25" customHeight="1" hidden="1">
      <c r="A3" s="91" t="s">
        <v>0</v>
      </c>
      <c r="B3" s="91"/>
      <c r="C3" s="91"/>
      <c r="D3" s="91"/>
      <c r="E3" s="91"/>
      <c r="F3" s="91"/>
      <c r="G3" s="91"/>
      <c r="H3" s="91"/>
      <c r="I3" s="33"/>
    </row>
    <row r="4" spans="1:9" ht="45" customHeight="1">
      <c r="A4" s="4" t="s">
        <v>1</v>
      </c>
      <c r="B4" s="18" t="s">
        <v>2</v>
      </c>
      <c r="C4" s="18" t="s">
        <v>151</v>
      </c>
      <c r="D4" s="18" t="s">
        <v>68</v>
      </c>
      <c r="E4" s="18" t="s">
        <v>66</v>
      </c>
      <c r="F4" s="18" t="s">
        <v>69</v>
      </c>
      <c r="G4" s="18" t="s">
        <v>152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2" t="s">
        <v>3</v>
      </c>
      <c r="B6" s="93"/>
      <c r="C6" s="93"/>
      <c r="D6" s="93"/>
      <c r="E6" s="93"/>
      <c r="F6" s="93"/>
      <c r="G6" s="93"/>
      <c r="H6" s="93"/>
      <c r="I6" s="94"/>
    </row>
    <row r="7" spans="1:9" ht="12.75">
      <c r="A7" s="51" t="s">
        <v>104</v>
      </c>
      <c r="B7" s="35">
        <f>B8+B16+B21+B26+B29+B36+B45+B46+B47+B51+B62</f>
        <v>673452.6</v>
      </c>
      <c r="C7" s="35">
        <f>C8+C16+C21+C26+C29+C36+C45+C46+C47+C51+C62</f>
        <v>33857.785299999996</v>
      </c>
      <c r="D7" s="35">
        <f>D8+D16+D21+D26+D29+D36+D45+D46+D47+D51+D62</f>
        <v>34369.89031</v>
      </c>
      <c r="E7" s="26">
        <f>$D:$D/$B:$B*100</f>
        <v>5.103535172334326</v>
      </c>
      <c r="F7" s="26">
        <v>27699.089999999997</v>
      </c>
      <c r="G7" s="35">
        <v>26763.81</v>
      </c>
      <c r="H7" s="26">
        <v>96.62342697900908</v>
      </c>
      <c r="I7" s="35">
        <v>26763.81</v>
      </c>
    </row>
    <row r="8" spans="1:9" ht="12.75">
      <c r="A8" s="52" t="s">
        <v>4</v>
      </c>
      <c r="B8" s="26">
        <f>B9+B10</f>
        <v>340235.9</v>
      </c>
      <c r="C8" s="26">
        <f>C9+C10</f>
        <v>16905</v>
      </c>
      <c r="D8" s="26">
        <f>D9+D10</f>
        <v>16918.55102</v>
      </c>
      <c r="E8" s="26">
        <f>$D:$D/$B:$B*100</f>
        <v>4.972594314709293</v>
      </c>
      <c r="F8" s="26">
        <v>10645.39</v>
      </c>
      <c r="G8" s="26">
        <v>10361.83</v>
      </c>
      <c r="H8" s="26">
        <v>97.3363117743925</v>
      </c>
      <c r="I8" s="26">
        <v>10361.83</v>
      </c>
    </row>
    <row r="9" spans="1:9" ht="25.5">
      <c r="A9" s="53" t="s">
        <v>5</v>
      </c>
      <c r="B9" s="27">
        <f>8446300/1000</f>
        <v>8446.3</v>
      </c>
      <c r="C9" s="27">
        <f>500000/1000</f>
        <v>500</v>
      </c>
      <c r="D9" s="27">
        <f>506536.75/1000</f>
        <v>506.53675</v>
      </c>
      <c r="E9" s="26">
        <f>$D:$D/$B:$B*100</f>
        <v>5.997143719735269</v>
      </c>
      <c r="F9" s="26">
        <v>200.86</v>
      </c>
      <c r="G9" s="27">
        <v>466.7</v>
      </c>
      <c r="H9" s="26">
        <v>232.3508911679777</v>
      </c>
      <c r="I9" s="27">
        <v>466.7</v>
      </c>
    </row>
    <row r="10" spans="1:9" ht="12.75" customHeight="1">
      <c r="A10" s="54" t="s">
        <v>70</v>
      </c>
      <c r="B10" s="46">
        <f>SUM(B11:B15)</f>
        <v>331789.60000000003</v>
      </c>
      <c r="C10" s="46">
        <f>SUM(C11:C15)</f>
        <v>16405</v>
      </c>
      <c r="D10" s="46">
        <f>SUM(D11:D15)</f>
        <v>16412.01427</v>
      </c>
      <c r="E10" s="26">
        <f>$D:$D/$B:$B*100</f>
        <v>4.946512570014249</v>
      </c>
      <c r="F10" s="26">
        <v>10444.529999999999</v>
      </c>
      <c r="G10" s="46">
        <v>9895.13</v>
      </c>
      <c r="H10" s="47">
        <v>94.7398303226665</v>
      </c>
      <c r="I10" s="46">
        <v>9895.13</v>
      </c>
    </row>
    <row r="11" spans="1:9" ht="51">
      <c r="A11" s="56" t="s">
        <v>74</v>
      </c>
      <c r="B11" s="28">
        <f>316825700/1000</f>
        <v>316825.7</v>
      </c>
      <c r="C11" s="28">
        <f>13742700/1000</f>
        <v>13742.7</v>
      </c>
      <c r="D11" s="28">
        <f>10829327.5/1000</f>
        <v>10829.3275</v>
      </c>
      <c r="E11" s="26">
        <f>$D:$D/$B:$B*100</f>
        <v>3.418071040322802</v>
      </c>
      <c r="F11" s="26">
        <v>10058</v>
      </c>
      <c r="G11" s="28">
        <v>9682.8</v>
      </c>
      <c r="H11" s="26">
        <v>96.26963611055875</v>
      </c>
      <c r="I11" s="28">
        <v>9682.8</v>
      </c>
    </row>
    <row r="12" spans="1:9" ht="51" customHeight="1">
      <c r="A12" s="56" t="s">
        <v>75</v>
      </c>
      <c r="B12" s="28">
        <f>6481500/1000</f>
        <v>6481.5</v>
      </c>
      <c r="C12" s="28">
        <f>71100/1000</f>
        <v>71.1</v>
      </c>
      <c r="D12" s="28">
        <f>71132.83/1000</f>
        <v>71.13283</v>
      </c>
      <c r="E12" s="26">
        <f>$D:$D/$B:$B*100</f>
        <v>1.0974748129291059</v>
      </c>
      <c r="F12" s="26">
        <v>81.56</v>
      </c>
      <c r="G12" s="28">
        <v>44.49</v>
      </c>
      <c r="H12" s="26">
        <v>54.54879843060324</v>
      </c>
      <c r="I12" s="28">
        <v>44.49</v>
      </c>
    </row>
    <row r="13" spans="1:9" ht="25.5">
      <c r="A13" s="56" t="s">
        <v>76</v>
      </c>
      <c r="B13" s="28">
        <f>3576400/1000</f>
        <v>3576.4</v>
      </c>
      <c r="C13" s="28">
        <f>62000/1000</f>
        <v>62</v>
      </c>
      <c r="D13" s="28">
        <f>62006.21/1000</f>
        <v>62.006209999999996</v>
      </c>
      <c r="E13" s="26">
        <f>$D:$D/$B:$B*100</f>
        <v>1.733760485404317</v>
      </c>
      <c r="F13" s="26">
        <v>117.15</v>
      </c>
      <c r="G13" s="28">
        <v>44.53</v>
      </c>
      <c r="H13" s="26">
        <v>38.01109688433632</v>
      </c>
      <c r="I13" s="28">
        <v>44.53</v>
      </c>
    </row>
    <row r="14" spans="1:9" ht="63.75">
      <c r="A14" s="56" t="s">
        <v>78</v>
      </c>
      <c r="B14" s="28">
        <f>2580100/1000</f>
        <v>2580.1</v>
      </c>
      <c r="C14" s="28">
        <f>203300/1000</f>
        <v>203.3</v>
      </c>
      <c r="D14" s="28">
        <f>203387.85/1000</f>
        <v>203.38785000000001</v>
      </c>
      <c r="E14" s="26">
        <f>$D:$D/$B:$B*100</f>
        <v>7.882944459517074</v>
      </c>
      <c r="F14" s="26">
        <v>187.82</v>
      </c>
      <c r="G14" s="28">
        <v>120.66</v>
      </c>
      <c r="H14" s="26">
        <v>64.24235970610158</v>
      </c>
      <c r="I14" s="28">
        <v>120.66</v>
      </c>
    </row>
    <row r="15" spans="1:9" ht="37.5" customHeight="1">
      <c r="A15" s="56" t="s">
        <v>145</v>
      </c>
      <c r="B15" s="36">
        <f>2325900/1000</f>
        <v>2325.9</v>
      </c>
      <c r="C15" s="36">
        <f>2325900/1000</f>
        <v>2325.9</v>
      </c>
      <c r="D15" s="36">
        <f>5246159.88/1000</f>
        <v>5246.15988</v>
      </c>
      <c r="E15" s="26">
        <f>$D:$D/$B:$B*100</f>
        <v>225.55397394556945</v>
      </c>
      <c r="F15" s="26"/>
      <c r="G15" s="35">
        <v>2.65</v>
      </c>
      <c r="H15" s="26">
        <v>0</v>
      </c>
      <c r="I15" s="35">
        <v>2.65</v>
      </c>
    </row>
    <row r="16" spans="1:9" ht="39.75" customHeight="1">
      <c r="A16" s="58" t="s">
        <v>82</v>
      </c>
      <c r="B16" s="27">
        <f>SUM(B17:B20)</f>
        <v>55588.03</v>
      </c>
      <c r="C16" s="27">
        <f>SUM(C17:C20)</f>
        <v>4229.000000000001</v>
      </c>
      <c r="D16" s="27">
        <f>SUM(D17:D20)</f>
        <v>5206.58843</v>
      </c>
      <c r="E16" s="26">
        <f>$D:$D/$B:$B*100</f>
        <v>9.366384147810239</v>
      </c>
      <c r="F16" s="26">
        <v>1853.18</v>
      </c>
      <c r="G16" s="28">
        <v>1846.3</v>
      </c>
      <c r="H16" s="26">
        <v>99.62874626318005</v>
      </c>
      <c r="I16" s="28">
        <v>1846.3</v>
      </c>
    </row>
    <row r="17" spans="1:9" ht="37.5" customHeight="1">
      <c r="A17" s="39" t="s">
        <v>83</v>
      </c>
      <c r="B17" s="80">
        <f>25133060/1000</f>
        <v>25133.06</v>
      </c>
      <c r="C17" s="80">
        <f>1927330/1000</f>
        <v>1927.33</v>
      </c>
      <c r="D17" s="80">
        <f>2392168.44/1000</f>
        <v>2392.16844</v>
      </c>
      <c r="E17" s="26">
        <f>$D:$D/$B:$B*100</f>
        <v>9.518015076556535</v>
      </c>
      <c r="F17" s="26">
        <v>844.23</v>
      </c>
      <c r="G17" s="28">
        <v>848</v>
      </c>
      <c r="H17" s="26">
        <v>100.44656077135376</v>
      </c>
      <c r="I17" s="28">
        <v>848</v>
      </c>
    </row>
    <row r="18" spans="1:9" ht="56.25" customHeight="1">
      <c r="A18" s="39" t="s">
        <v>84</v>
      </c>
      <c r="B18" s="80">
        <f>139120/1000</f>
        <v>139.12</v>
      </c>
      <c r="C18" s="80">
        <f>10650/1000</f>
        <v>10.65</v>
      </c>
      <c r="D18" s="80">
        <f>14077.8/1000</f>
        <v>14.0778</v>
      </c>
      <c r="E18" s="26">
        <f>$D:$D/$B:$B*100</f>
        <v>10.119177688326623</v>
      </c>
      <c r="F18" s="26">
        <v>5.74</v>
      </c>
      <c r="G18" s="28">
        <v>5</v>
      </c>
      <c r="H18" s="26">
        <v>87.10801393728222</v>
      </c>
      <c r="I18" s="28">
        <v>5</v>
      </c>
    </row>
    <row r="19" spans="1:9" ht="55.5" customHeight="1">
      <c r="A19" s="39" t="s">
        <v>85</v>
      </c>
      <c r="B19" s="80">
        <f>33467400/1000</f>
        <v>33467.4</v>
      </c>
      <c r="C19" s="80">
        <f>2586380/1000</f>
        <v>2586.38</v>
      </c>
      <c r="D19" s="80">
        <f>2959715.18/1000</f>
        <v>2959.71518</v>
      </c>
      <c r="E19" s="26">
        <f>$D:$D/$B:$B*100</f>
        <v>8.843576674614699</v>
      </c>
      <c r="F19" s="26">
        <v>1158.41</v>
      </c>
      <c r="G19" s="28">
        <v>1137.81</v>
      </c>
      <c r="H19" s="26">
        <v>98.22170043421585</v>
      </c>
      <c r="I19" s="28">
        <v>1137.81</v>
      </c>
    </row>
    <row r="20" spans="1:9" ht="15.75" customHeight="1">
      <c r="A20" s="39" t="s">
        <v>86</v>
      </c>
      <c r="B20" s="80">
        <f>-3151550/1000</f>
        <v>-3151.55</v>
      </c>
      <c r="C20" s="80">
        <f>-295360/1000</f>
        <v>-295.36</v>
      </c>
      <c r="D20" s="80">
        <f>-159372.99/1000</f>
        <v>-159.37299</v>
      </c>
      <c r="E20" s="26">
        <f>$D:$D/$B:$B*100</f>
        <v>5.0569716488711896</v>
      </c>
      <c r="F20" s="26">
        <v>-155.2</v>
      </c>
      <c r="G20" s="35">
        <v>-144.51</v>
      </c>
      <c r="H20" s="26">
        <v>93.11211340206185</v>
      </c>
      <c r="I20" s="35">
        <v>-144.51</v>
      </c>
    </row>
    <row r="21" spans="1:9" ht="12.75">
      <c r="A21" s="59" t="s">
        <v>7</v>
      </c>
      <c r="B21" s="27">
        <f>SUM(B22:B25)</f>
        <v>134216.5</v>
      </c>
      <c r="C21" s="27">
        <f>SUM(C22:C25)</f>
        <v>5720</v>
      </c>
      <c r="D21" s="27">
        <f>SUM(D22:D25)</f>
        <v>5984.851520000002</v>
      </c>
      <c r="E21" s="26">
        <f>$D:$D/$B:$B*100</f>
        <v>4.459102658764014</v>
      </c>
      <c r="F21" s="26">
        <v>7362.96</v>
      </c>
      <c r="G21" s="28">
        <v>8980.52</v>
      </c>
      <c r="H21" s="26">
        <v>121.96888208003303</v>
      </c>
      <c r="I21" s="28">
        <v>8980.52</v>
      </c>
    </row>
    <row r="22" spans="1:9" ht="28.5" customHeight="1">
      <c r="A22" s="56" t="s">
        <v>146</v>
      </c>
      <c r="B22" s="28">
        <f>110640700/1000</f>
        <v>110640.7</v>
      </c>
      <c r="C22" s="28">
        <f>4620000/1000</f>
        <v>4620</v>
      </c>
      <c r="D22" s="28">
        <f>4635050.98/1000</f>
        <v>4635.050980000001</v>
      </c>
      <c r="E22" s="26">
        <f>$D:$D/$B:$B*100</f>
        <v>4.189282045395593</v>
      </c>
      <c r="F22" s="26"/>
      <c r="G22" s="28">
        <v>2988.75</v>
      </c>
      <c r="H22" s="26">
        <v>0</v>
      </c>
      <c r="I22" s="28">
        <v>2988.75</v>
      </c>
    </row>
    <row r="23" spans="1:9" ht="19.5" customHeight="1">
      <c r="A23" s="56" t="s">
        <v>89</v>
      </c>
      <c r="B23" s="28">
        <v>0</v>
      </c>
      <c r="C23" s="28">
        <v>0</v>
      </c>
      <c r="D23" s="28">
        <f>35866.93/1000</f>
        <v>35.86693</v>
      </c>
      <c r="E23" s="26" t="e">
        <f>$D:$D/$B:$B*100</f>
        <v>#DIV/0!</v>
      </c>
      <c r="F23" s="26">
        <v>7198.75</v>
      </c>
      <c r="G23" s="28">
        <v>5510.79</v>
      </c>
      <c r="H23" s="26">
        <v>76.55204028477166</v>
      </c>
      <c r="I23" s="28">
        <v>5510.79</v>
      </c>
    </row>
    <row r="24" spans="1:9" ht="15" customHeight="1">
      <c r="A24" s="56" t="s">
        <v>87</v>
      </c>
      <c r="B24" s="36">
        <f>1245000/1000</f>
        <v>1245</v>
      </c>
      <c r="C24" s="36">
        <v>0</v>
      </c>
      <c r="D24" s="36">
        <f>127520/1000</f>
        <v>127.52</v>
      </c>
      <c r="E24" s="26">
        <f>$D:$D/$B:$B*100</f>
        <v>10.242570281124499</v>
      </c>
      <c r="F24" s="26">
        <v>113.58</v>
      </c>
      <c r="G24" s="35">
        <v>259.92</v>
      </c>
      <c r="H24" s="26">
        <v>228.84310618066564</v>
      </c>
      <c r="I24" s="35">
        <v>259.92</v>
      </c>
    </row>
    <row r="25" spans="1:9" ht="27" customHeight="1">
      <c r="A25" s="56" t="s">
        <v>88</v>
      </c>
      <c r="B25" s="28">
        <f>22330800/1000</f>
        <v>22330.8</v>
      </c>
      <c r="C25" s="28">
        <f>1100000/1000</f>
        <v>1100</v>
      </c>
      <c r="D25" s="28">
        <f>1186413.61/1000</f>
        <v>1186.41361</v>
      </c>
      <c r="E25" s="26">
        <f>$D:$D/$B:$B*100</f>
        <v>5.312902403854766</v>
      </c>
      <c r="F25" s="26">
        <v>50.63</v>
      </c>
      <c r="G25" s="28">
        <v>221.06</v>
      </c>
      <c r="H25" s="26">
        <v>436.61860556982026</v>
      </c>
      <c r="I25" s="28">
        <v>221.06</v>
      </c>
    </row>
    <row r="26" spans="1:9" ht="12.75">
      <c r="A26" s="59" t="s">
        <v>8</v>
      </c>
      <c r="B26" s="27">
        <f>SUM(B27:B28)</f>
        <v>42549</v>
      </c>
      <c r="C26" s="27">
        <f>SUM(C27:C28)</f>
        <v>1400</v>
      </c>
      <c r="D26" s="27">
        <f>SUM(D27:D28)</f>
        <v>1404.8256999999999</v>
      </c>
      <c r="E26" s="26">
        <f>$D:$D/$B:$B*100</f>
        <v>3.3016656090624923</v>
      </c>
      <c r="F26" s="26">
        <v>2465.82</v>
      </c>
      <c r="G26" s="28">
        <v>1291.03</v>
      </c>
      <c r="H26" s="26">
        <v>52.357025249207155</v>
      </c>
      <c r="I26" s="28">
        <v>1291.03</v>
      </c>
    </row>
    <row r="27" spans="1:9" ht="12.75">
      <c r="A27" s="56" t="s">
        <v>106</v>
      </c>
      <c r="B27" s="36">
        <f>25216900/1000</f>
        <v>25216.9</v>
      </c>
      <c r="C27" s="36">
        <f>770000/1000</f>
        <v>770</v>
      </c>
      <c r="D27" s="36">
        <f>777295.01/1000</f>
        <v>777.29501</v>
      </c>
      <c r="E27" s="26">
        <f>$D:$D/$B:$B*100</f>
        <v>3.0824368181655952</v>
      </c>
      <c r="F27" s="26">
        <v>536.1</v>
      </c>
      <c r="G27" s="35">
        <v>553.3</v>
      </c>
      <c r="H27" s="26">
        <v>103.20835664987875</v>
      </c>
      <c r="I27" s="35">
        <v>553.3</v>
      </c>
    </row>
    <row r="28" spans="1:9" ht="12.75">
      <c r="A28" s="56" t="s">
        <v>107</v>
      </c>
      <c r="B28" s="28">
        <f>17332100/1000</f>
        <v>17332.1</v>
      </c>
      <c r="C28" s="28">
        <f>630000/1000</f>
        <v>630</v>
      </c>
      <c r="D28" s="28">
        <f>627530.69/1000</f>
        <v>627.5306899999999</v>
      </c>
      <c r="E28" s="26">
        <f>$D:$D/$B:$B*100</f>
        <v>3.620626986920223</v>
      </c>
      <c r="F28" s="26">
        <v>1929.72</v>
      </c>
      <c r="G28" s="28">
        <v>737.73</v>
      </c>
      <c r="H28" s="26">
        <v>38.22989863814439</v>
      </c>
      <c r="I28" s="28">
        <v>737.73</v>
      </c>
    </row>
    <row r="29" spans="1:9" ht="12.75">
      <c r="A29" s="52" t="s">
        <v>9</v>
      </c>
      <c r="B29" s="28">
        <f>SUM(B30:B32)</f>
        <v>16105.5</v>
      </c>
      <c r="C29" s="28">
        <f>SUM(C30:C32)</f>
        <v>1004.8</v>
      </c>
      <c r="D29" s="28">
        <f>SUM(D30:D32)</f>
        <v>1026.5252500000001</v>
      </c>
      <c r="E29" s="26">
        <f>$D:$D/$B:$B*100</f>
        <v>6.373755859799449</v>
      </c>
      <c r="F29" s="26">
        <v>793.07</v>
      </c>
      <c r="G29" s="28">
        <v>693.5500000000001</v>
      </c>
      <c r="H29" s="26">
        <v>87.45129685904145</v>
      </c>
      <c r="I29" s="28">
        <v>693.5500000000001</v>
      </c>
    </row>
    <row r="30" spans="1:9" ht="25.5">
      <c r="A30" s="56" t="s">
        <v>10</v>
      </c>
      <c r="B30" s="28">
        <f>15988300/1000</f>
        <v>15988.3</v>
      </c>
      <c r="C30" s="28">
        <f>1000000/1000</f>
        <v>1000</v>
      </c>
      <c r="D30" s="28">
        <f>1014925.25/1000</f>
        <v>1014.92525</v>
      </c>
      <c r="E30" s="26">
        <f>$D:$D/$B:$B*100</f>
        <v>6.347924732460612</v>
      </c>
      <c r="F30" s="26">
        <v>793.07</v>
      </c>
      <c r="G30" s="28">
        <v>691.95</v>
      </c>
      <c r="H30" s="26">
        <v>87.24954922011928</v>
      </c>
      <c r="I30" s="28">
        <v>691.95</v>
      </c>
    </row>
    <row r="31" spans="1:9" ht="25.5">
      <c r="A31" s="56" t="s">
        <v>91</v>
      </c>
      <c r="B31" s="80">
        <f>67200/1000</f>
        <v>67.2</v>
      </c>
      <c r="C31" s="80">
        <f>4800/1000</f>
        <v>4.8</v>
      </c>
      <c r="D31" s="80">
        <f>1600/1000</f>
        <v>1.6</v>
      </c>
      <c r="E31" s="26">
        <f>$D:$D/$B:$B*100</f>
        <v>2.380952380952381</v>
      </c>
      <c r="F31" s="26">
        <v>0</v>
      </c>
      <c r="G31" s="35">
        <v>1.6</v>
      </c>
      <c r="H31" s="26" t="s">
        <v>111</v>
      </c>
      <c r="I31" s="35">
        <v>1.6</v>
      </c>
    </row>
    <row r="32" spans="1:9" ht="25.5">
      <c r="A32" s="56" t="s">
        <v>90</v>
      </c>
      <c r="B32" s="80">
        <f>50000/1000</f>
        <v>50</v>
      </c>
      <c r="C32" s="80">
        <v>0</v>
      </c>
      <c r="D32" s="80">
        <f>10000/1000</f>
        <v>10</v>
      </c>
      <c r="E32" s="26">
        <f>$D:$D/$B:$B*100</f>
        <v>20</v>
      </c>
      <c r="F32" s="26">
        <v>0</v>
      </c>
      <c r="G32" s="28">
        <v>0</v>
      </c>
      <c r="H32" s="26" t="s">
        <v>111</v>
      </c>
      <c r="I32" s="28">
        <v>0</v>
      </c>
    </row>
    <row r="33" spans="1:9" ht="25.5" hidden="1">
      <c r="A33" s="59" t="s">
        <v>11</v>
      </c>
      <c r="B33" s="28">
        <v>0</v>
      </c>
      <c r="C33" s="28">
        <v>0</v>
      </c>
      <c r="D33" s="28">
        <v>0.02</v>
      </c>
      <c r="E33" s="26" t="e">
        <f>$D:$D/$B:$B*100</f>
        <v>#DIV/0!</v>
      </c>
      <c r="F33" s="26">
        <v>0</v>
      </c>
      <c r="G33" s="28">
        <v>0.02</v>
      </c>
      <c r="H33" s="26" t="s">
        <v>111</v>
      </c>
      <c r="I33" s="28">
        <v>0.02</v>
      </c>
    </row>
    <row r="34" spans="1:9" ht="25.5" hidden="1">
      <c r="A34" s="56" t="s">
        <v>116</v>
      </c>
      <c r="B34" s="35">
        <v>0</v>
      </c>
      <c r="C34" s="35">
        <v>0</v>
      </c>
      <c r="D34" s="35">
        <v>0.02</v>
      </c>
      <c r="E34" s="26" t="e">
        <f>$D:$D/$B:$B*100</f>
        <v>#DIV/0!</v>
      </c>
      <c r="F34" s="26">
        <v>0</v>
      </c>
      <c r="G34" s="35">
        <v>0.02</v>
      </c>
      <c r="H34" s="26" t="s">
        <v>111</v>
      </c>
      <c r="I34" s="35">
        <v>0.02</v>
      </c>
    </row>
    <row r="35" spans="1:9" ht="25.5" hidden="1">
      <c r="A35" s="56" t="s">
        <v>92</v>
      </c>
      <c r="B35" s="28">
        <v>0</v>
      </c>
      <c r="C35" s="28">
        <v>0</v>
      </c>
      <c r="D35" s="28">
        <v>0</v>
      </c>
      <c r="E35" s="26" t="e">
        <f>$D:$D/$B:$B*100</f>
        <v>#DIV/0!</v>
      </c>
      <c r="F35" s="26">
        <v>0</v>
      </c>
      <c r="G35" s="28">
        <v>0</v>
      </c>
      <c r="H35" s="26" t="s">
        <v>111</v>
      </c>
      <c r="I35" s="28">
        <v>0</v>
      </c>
    </row>
    <row r="36" spans="1:9" ht="39.75" customHeight="1">
      <c r="A36" s="59" t="s">
        <v>12</v>
      </c>
      <c r="B36" s="28">
        <f>SUM(B38:B44)</f>
        <v>73550.48000000001</v>
      </c>
      <c r="C36" s="28">
        <f>SUM(C38:C44)</f>
        <v>4283.3553</v>
      </c>
      <c r="D36" s="28">
        <f>SUM(D38:D44)</f>
        <v>3331.27835</v>
      </c>
      <c r="E36" s="26">
        <f>$D:$D/$B:$B*100</f>
        <v>4.529240801691572</v>
      </c>
      <c r="F36" s="26">
        <v>3247.05</v>
      </c>
      <c r="G36" s="28">
        <v>2980.23</v>
      </c>
      <c r="H36" s="26">
        <v>91.78269506167136</v>
      </c>
      <c r="I36" s="28">
        <v>2980.2299999999996</v>
      </c>
    </row>
    <row r="37" spans="1:9" ht="81.75" customHeight="1" hidden="1">
      <c r="A37" s="56" t="s">
        <v>114</v>
      </c>
      <c r="B37" s="28"/>
      <c r="C37" s="28"/>
      <c r="D37" s="28"/>
      <c r="E37" s="26" t="e">
        <f>$D:$D/$B:$B*100</f>
        <v>#DIV/0!</v>
      </c>
      <c r="F37" s="26"/>
      <c r="G37" s="28"/>
      <c r="H37" s="26" t="e">
        <v>#DIV/0!</v>
      </c>
      <c r="I37" s="28"/>
    </row>
    <row r="38" spans="1:9" ht="76.5">
      <c r="A38" s="56" t="s">
        <v>117</v>
      </c>
      <c r="B38" s="28">
        <f>37670900/1000</f>
        <v>37670.9</v>
      </c>
      <c r="C38" s="28">
        <f>2000000/1000</f>
        <v>2000</v>
      </c>
      <c r="D38" s="28">
        <f>1861737.65/1000</f>
        <v>1861.7376499999998</v>
      </c>
      <c r="E38" s="26">
        <f>$D:$D/$B:$B*100</f>
        <v>4.942110886652562</v>
      </c>
      <c r="F38" s="26">
        <v>2393.3</v>
      </c>
      <c r="G38" s="28">
        <v>2332.44</v>
      </c>
      <c r="H38" s="26">
        <v>97.4570676471817</v>
      </c>
      <c r="I38" s="28">
        <v>2332.44</v>
      </c>
    </row>
    <row r="39" spans="1:9" ht="76.5">
      <c r="A39" s="56" t="s">
        <v>125</v>
      </c>
      <c r="B39" s="81">
        <f>7265030/1000</f>
        <v>7265.03</v>
      </c>
      <c r="C39" s="81">
        <f>167616.14/1000</f>
        <v>167.61614</v>
      </c>
      <c r="D39" s="81">
        <f>160912.85/1000</f>
        <v>160.91285</v>
      </c>
      <c r="E39" s="26">
        <f>$D:$D/$B:$B*100</f>
        <v>2.2148958779247985</v>
      </c>
      <c r="F39" s="26">
        <v>75.44</v>
      </c>
      <c r="G39" s="28">
        <v>0</v>
      </c>
      <c r="H39" s="26" t="s">
        <v>111</v>
      </c>
      <c r="I39" s="28">
        <v>0</v>
      </c>
    </row>
    <row r="40" spans="1:9" ht="76.5">
      <c r="A40" s="56" t="s">
        <v>118</v>
      </c>
      <c r="B40" s="81">
        <f>427990/1000</f>
        <v>427.99</v>
      </c>
      <c r="C40" s="81">
        <f>32189/1000</f>
        <v>32.189</v>
      </c>
      <c r="D40" s="81">
        <f>3504.13/1000</f>
        <v>3.50413</v>
      </c>
      <c r="E40" s="26">
        <f>$D:$D/$B:$B*100</f>
        <v>0.8187410920815907</v>
      </c>
      <c r="F40" s="26">
        <v>3.43</v>
      </c>
      <c r="G40" s="28">
        <v>18.12</v>
      </c>
      <c r="H40" s="26">
        <v>528.2798833819242</v>
      </c>
      <c r="I40" s="28">
        <v>18.12</v>
      </c>
    </row>
    <row r="41" spans="1:9" ht="38.25">
      <c r="A41" s="56" t="s">
        <v>119</v>
      </c>
      <c r="B41" s="81">
        <f>21306530/1000</f>
        <v>21306.53</v>
      </c>
      <c r="C41" s="81">
        <f>1070948.16/1000</f>
        <v>1070.94816</v>
      </c>
      <c r="D41" s="81">
        <f>1216579.84/1000</f>
        <v>1216.57984</v>
      </c>
      <c r="E41" s="26">
        <f>$D:$D/$B:$B*100</f>
        <v>5.709891943925173</v>
      </c>
      <c r="F41" s="26">
        <v>538.73</v>
      </c>
      <c r="G41" s="28">
        <v>391.47</v>
      </c>
      <c r="H41" s="26">
        <v>72.6653425649212</v>
      </c>
      <c r="I41" s="28">
        <v>391.47</v>
      </c>
    </row>
    <row r="42" spans="1:9" ht="51">
      <c r="A42" s="56" t="s">
        <v>147</v>
      </c>
      <c r="B42" s="81">
        <f>64240/1000</f>
        <v>64.24</v>
      </c>
      <c r="C42" s="81">
        <f>5353/1000</f>
        <v>5.353</v>
      </c>
      <c r="D42" s="81">
        <v>0</v>
      </c>
      <c r="E42" s="26">
        <f>$D:$D/$B:$B*100</f>
        <v>0</v>
      </c>
      <c r="F42" s="26"/>
      <c r="G42" s="27"/>
      <c r="H42" s="26"/>
      <c r="I42" s="27"/>
    </row>
    <row r="43" spans="1:9" ht="51">
      <c r="A43" s="56" t="s">
        <v>120</v>
      </c>
      <c r="B43" s="81">
        <f>2735600/1000</f>
        <v>2735.6</v>
      </c>
      <c r="C43" s="81">
        <f>683900/1000</f>
        <v>683.9</v>
      </c>
      <c r="D43" s="81">
        <v>0</v>
      </c>
      <c r="E43" s="26">
        <f>$D:$D/$B:$B*100</f>
        <v>0</v>
      </c>
      <c r="F43" s="26">
        <v>0</v>
      </c>
      <c r="G43" s="27">
        <v>0</v>
      </c>
      <c r="H43" s="26" t="s">
        <v>111</v>
      </c>
      <c r="I43" s="27">
        <v>0</v>
      </c>
    </row>
    <row r="44" spans="1:9" ht="76.5">
      <c r="A44" s="60" t="s">
        <v>121</v>
      </c>
      <c r="B44" s="82">
        <f>4080190/1000</f>
        <v>4080.19</v>
      </c>
      <c r="C44" s="82">
        <f>323349/1000</f>
        <v>323.349</v>
      </c>
      <c r="D44" s="82">
        <f>88543.88/1000</f>
        <v>88.54388</v>
      </c>
      <c r="E44" s="26">
        <f>$D:$D/$B:$B*100</f>
        <v>2.1700920790453386</v>
      </c>
      <c r="F44" s="26">
        <v>236.15</v>
      </c>
      <c r="G44" s="35">
        <v>238.2</v>
      </c>
      <c r="H44" s="26">
        <v>100.86809231420706</v>
      </c>
      <c r="I44" s="35">
        <v>238.2</v>
      </c>
    </row>
    <row r="45" spans="1:9" ht="27" customHeight="1">
      <c r="A45" s="53" t="s">
        <v>13</v>
      </c>
      <c r="B45" s="28">
        <f>766900/1000</f>
        <v>766.9</v>
      </c>
      <c r="C45" s="28">
        <f>200500/1000</f>
        <v>200.5</v>
      </c>
      <c r="D45" s="28">
        <f>96256.37/1000</f>
        <v>96.25636999999999</v>
      </c>
      <c r="E45" s="26">
        <f>$D:$D/$B:$B*100</f>
        <v>12.551358716912242</v>
      </c>
      <c r="F45" s="26">
        <v>43.6</v>
      </c>
      <c r="G45" s="28">
        <v>12.86</v>
      </c>
      <c r="H45" s="26">
        <v>29.495412844036693</v>
      </c>
      <c r="I45" s="28">
        <v>12.86</v>
      </c>
    </row>
    <row r="46" spans="1:9" ht="25.5">
      <c r="A46" s="53" t="s">
        <v>96</v>
      </c>
      <c r="B46" s="28">
        <f>1277590/1000</f>
        <v>1277.59</v>
      </c>
      <c r="C46" s="28">
        <f>21662/1000</f>
        <v>21.662</v>
      </c>
      <c r="D46" s="28">
        <f>21416.23/1000</f>
        <v>21.41623</v>
      </c>
      <c r="E46" s="26">
        <f>$D:$D/$B:$B*100</f>
        <v>1.6762991256976025</v>
      </c>
      <c r="F46" s="26">
        <v>561.58</v>
      </c>
      <c r="G46" s="28">
        <v>468.83</v>
      </c>
      <c r="H46" s="26">
        <v>83.484098436554</v>
      </c>
      <c r="I46" s="28">
        <v>468.83</v>
      </c>
    </row>
    <row r="47" spans="1:9" ht="25.5">
      <c r="A47" s="59" t="s">
        <v>14</v>
      </c>
      <c r="B47" s="28">
        <f>SUM(B48:B50)</f>
        <v>3900</v>
      </c>
      <c r="C47" s="28">
        <f>SUM(C48:C50)</f>
        <v>0</v>
      </c>
      <c r="D47" s="28">
        <f>SUM(D48:D50)</f>
        <v>273.72363</v>
      </c>
      <c r="E47" s="26">
        <f>$D:$D/$B:$B*100</f>
        <v>7.018554615384616</v>
      </c>
      <c r="F47" s="26">
        <v>585.5</v>
      </c>
      <c r="G47" s="28">
        <v>42.07</v>
      </c>
      <c r="H47" s="26">
        <v>7.185311699402221</v>
      </c>
      <c r="I47" s="28">
        <v>42.07</v>
      </c>
    </row>
    <row r="48" spans="1:9" ht="12.75">
      <c r="A48" s="56" t="s">
        <v>94</v>
      </c>
      <c r="B48" s="35">
        <v>0</v>
      </c>
      <c r="C48" s="35">
        <v>0</v>
      </c>
      <c r="D48" s="35">
        <v>0</v>
      </c>
      <c r="E48" s="26" t="e">
        <f>$D:$D/$B:$B*100</f>
        <v>#DIV/0!</v>
      </c>
      <c r="F48" s="26">
        <v>0</v>
      </c>
      <c r="G48" s="35">
        <v>0</v>
      </c>
      <c r="H48" s="26" t="s">
        <v>111</v>
      </c>
      <c r="I48" s="27">
        <v>0</v>
      </c>
    </row>
    <row r="49" spans="1:9" ht="76.5">
      <c r="A49" s="56" t="s">
        <v>95</v>
      </c>
      <c r="B49" s="28">
        <v>0</v>
      </c>
      <c r="C49" s="28">
        <v>0</v>
      </c>
      <c r="D49" s="28">
        <v>0</v>
      </c>
      <c r="E49" s="26" t="e">
        <f>$D:$D/$B:$B*100</f>
        <v>#DIV/0!</v>
      </c>
      <c r="F49" s="26">
        <v>37.14</v>
      </c>
      <c r="G49" s="28">
        <v>0</v>
      </c>
      <c r="H49" s="26">
        <v>0</v>
      </c>
      <c r="I49" s="28">
        <v>0</v>
      </c>
    </row>
    <row r="50" spans="1:9" ht="21" customHeight="1">
      <c r="A50" s="60" t="s">
        <v>93</v>
      </c>
      <c r="B50" s="81">
        <f>3900000/1000</f>
        <v>3900</v>
      </c>
      <c r="C50" s="81">
        <v>0</v>
      </c>
      <c r="D50" s="81">
        <f>273723.63/1000</f>
        <v>273.72363</v>
      </c>
      <c r="E50" s="26">
        <f>$D:$D/$B:$B*100</f>
        <v>7.018554615384616</v>
      </c>
      <c r="F50" s="26">
        <v>548.36</v>
      </c>
      <c r="G50" s="28">
        <v>42.07</v>
      </c>
      <c r="H50" s="26">
        <v>7.671967320738202</v>
      </c>
      <c r="I50" s="28">
        <v>42.07</v>
      </c>
    </row>
    <row r="51" spans="1:9" ht="12.75">
      <c r="A51" s="53" t="s">
        <v>15</v>
      </c>
      <c r="B51" s="28">
        <f>5212700/1000</f>
        <v>5212.7</v>
      </c>
      <c r="C51" s="28">
        <f>89302/1000</f>
        <v>89.302</v>
      </c>
      <c r="D51" s="28">
        <f>105873.81/1000</f>
        <v>105.87380999999999</v>
      </c>
      <c r="E51" s="26">
        <f>$D:$D/$B:$B*100</f>
        <v>2.0310742993074604</v>
      </c>
      <c r="F51" s="26">
        <v>179.73</v>
      </c>
      <c r="G51" s="28">
        <v>79.41</v>
      </c>
      <c r="H51" s="26">
        <v>44.182941078284095</v>
      </c>
      <c r="I51" s="28">
        <v>79.41</v>
      </c>
    </row>
    <row r="52" spans="1:9" ht="63.75" hidden="1">
      <c r="A52" s="56" t="s">
        <v>126</v>
      </c>
      <c r="B52" s="28">
        <v>223.07</v>
      </c>
      <c r="C52" s="28">
        <v>20</v>
      </c>
      <c r="D52" s="28"/>
      <c r="E52" s="26">
        <f>$D:$D/$B:$B*100</f>
        <v>0</v>
      </c>
      <c r="F52" s="26"/>
      <c r="G52" s="28"/>
      <c r="H52" s="26" t="e">
        <v>#DIV/0!</v>
      </c>
      <c r="I52" s="28">
        <v>0</v>
      </c>
    </row>
    <row r="53" spans="1:9" ht="89.25" hidden="1">
      <c r="A53" s="56" t="s">
        <v>127</v>
      </c>
      <c r="B53" s="28">
        <v>223.07</v>
      </c>
      <c r="C53" s="28">
        <v>20</v>
      </c>
      <c r="D53" s="28"/>
      <c r="E53" s="26">
        <f>$D:$D/$B:$B*100</f>
        <v>0</v>
      </c>
      <c r="F53" s="26"/>
      <c r="G53" s="28"/>
      <c r="H53" s="26" t="e">
        <v>#DIV/0!</v>
      </c>
      <c r="I53" s="28">
        <v>0</v>
      </c>
    </row>
    <row r="54" spans="1:9" ht="63.75" hidden="1">
      <c r="A54" s="56" t="s">
        <v>128</v>
      </c>
      <c r="B54" s="28">
        <v>223.07</v>
      </c>
      <c r="C54" s="28">
        <v>20</v>
      </c>
      <c r="D54" s="28"/>
      <c r="E54" s="26">
        <f>$D:$D/$B:$B*100</f>
        <v>0</v>
      </c>
      <c r="F54" s="26"/>
      <c r="G54" s="28"/>
      <c r="H54" s="26" t="e">
        <v>#DIV/0!</v>
      </c>
      <c r="I54" s="28">
        <v>0</v>
      </c>
    </row>
    <row r="55" spans="1:9" ht="29.25" customHeight="1" hidden="1">
      <c r="A55" s="56" t="s">
        <v>129</v>
      </c>
      <c r="B55" s="28">
        <v>223.07</v>
      </c>
      <c r="C55" s="28">
        <v>20</v>
      </c>
      <c r="D55" s="28"/>
      <c r="E55" s="26">
        <f>$D:$D/$B:$B*100</f>
        <v>0</v>
      </c>
      <c r="F55" s="26"/>
      <c r="G55" s="28"/>
      <c r="H55" s="26" t="s">
        <v>112</v>
      </c>
      <c r="I55" s="28">
        <v>0</v>
      </c>
    </row>
    <row r="56" spans="1:9" ht="38.25" customHeight="1" hidden="1">
      <c r="A56" s="56" t="s">
        <v>130</v>
      </c>
      <c r="B56" s="28">
        <v>223.07</v>
      </c>
      <c r="C56" s="28">
        <v>20</v>
      </c>
      <c r="D56" s="28"/>
      <c r="E56" s="26">
        <f>$D:$D/$B:$B*100</f>
        <v>0</v>
      </c>
      <c r="F56" s="26"/>
      <c r="G56" s="28"/>
      <c r="H56" s="26" t="e">
        <v>#DIV/0!</v>
      </c>
      <c r="I56" s="28">
        <v>0</v>
      </c>
    </row>
    <row r="57" spans="1:9" ht="43.5" customHeight="1" hidden="1">
      <c r="A57" s="56" t="s">
        <v>131</v>
      </c>
      <c r="B57" s="28">
        <v>223.07</v>
      </c>
      <c r="C57" s="28">
        <v>20</v>
      </c>
      <c r="D57" s="28"/>
      <c r="E57" s="26">
        <f>$D:$D/$B:$B*100</f>
        <v>0</v>
      </c>
      <c r="F57" s="26"/>
      <c r="G57" s="28"/>
      <c r="H57" s="26" t="e">
        <v>#DIV/0!</v>
      </c>
      <c r="I57" s="28">
        <v>0</v>
      </c>
    </row>
    <row r="58" spans="1:9" ht="40.5" customHeight="1" hidden="1">
      <c r="A58" s="56" t="s">
        <v>132</v>
      </c>
      <c r="B58" s="28">
        <v>223.07</v>
      </c>
      <c r="C58" s="28">
        <v>20</v>
      </c>
      <c r="D58" s="28"/>
      <c r="E58" s="26">
        <f>$D:$D/$B:$B*100</f>
        <v>0</v>
      </c>
      <c r="F58" s="26"/>
      <c r="G58" s="28"/>
      <c r="H58" s="26" t="e">
        <v>#DIV/0!</v>
      </c>
      <c r="I58" s="28">
        <v>0</v>
      </c>
    </row>
    <row r="59" spans="1:9" ht="51" hidden="1">
      <c r="A59" s="56" t="s">
        <v>133</v>
      </c>
      <c r="B59" s="27">
        <v>223.07</v>
      </c>
      <c r="C59" s="27">
        <v>20</v>
      </c>
      <c r="D59" s="27"/>
      <c r="E59" s="26">
        <f>$D:$D/$B:$B*100</f>
        <v>0</v>
      </c>
      <c r="F59" s="26"/>
      <c r="G59" s="27"/>
      <c r="H59" s="26" t="e">
        <v>#DIV/0!</v>
      </c>
      <c r="I59" s="27">
        <v>0</v>
      </c>
    </row>
    <row r="60" spans="1:9" ht="76.5" hidden="1">
      <c r="A60" s="56" t="s">
        <v>134</v>
      </c>
      <c r="B60" s="35">
        <v>223.07</v>
      </c>
      <c r="C60" s="35">
        <v>20</v>
      </c>
      <c r="D60" s="35"/>
      <c r="E60" s="26">
        <f>$D:$D/$B:$B*100</f>
        <v>0</v>
      </c>
      <c r="F60" s="26"/>
      <c r="G60" s="35"/>
      <c r="H60" s="26" t="s">
        <v>111</v>
      </c>
      <c r="I60" s="35">
        <v>0</v>
      </c>
    </row>
    <row r="61" spans="1:9" ht="12.75" hidden="1">
      <c r="A61" s="56" t="s">
        <v>135</v>
      </c>
      <c r="B61" s="35">
        <v>223.07</v>
      </c>
      <c r="C61" s="35">
        <v>20</v>
      </c>
      <c r="D61" s="35"/>
      <c r="E61" s="26">
        <f>$D:$D/$B:$B*100</f>
        <v>0</v>
      </c>
      <c r="F61" s="26"/>
      <c r="G61" s="35"/>
      <c r="H61" s="26" t="s">
        <v>112</v>
      </c>
      <c r="I61" s="35">
        <v>0</v>
      </c>
    </row>
    <row r="62" spans="1:9" ht="12.75">
      <c r="A62" s="52" t="s">
        <v>16</v>
      </c>
      <c r="B62" s="81">
        <f>50000/1000</f>
        <v>50</v>
      </c>
      <c r="C62" s="81">
        <f>4166/1000</f>
        <v>4.166</v>
      </c>
      <c r="D62" s="81">
        <v>0</v>
      </c>
      <c r="E62" s="26">
        <f>$D:$D/$B:$B*100</f>
        <v>0</v>
      </c>
      <c r="F62" s="26">
        <v>-38.79</v>
      </c>
      <c r="G62" s="35">
        <v>7.16</v>
      </c>
      <c r="H62" s="26">
        <v>-18.45836555813354</v>
      </c>
      <c r="I62" s="35">
        <v>7.16</v>
      </c>
    </row>
    <row r="63" spans="1:9" ht="12.75">
      <c r="A63" s="59" t="s">
        <v>17</v>
      </c>
      <c r="B63" s="28">
        <f>B62+B51+B47+B46+B45+B36+B29+B26+B21+B16+B8</f>
        <v>673452.6000000001</v>
      </c>
      <c r="C63" s="28">
        <f>C62+C51+C47+C46+C45+C36+C29+C26+C21+C16+C8</f>
        <v>33857.7853</v>
      </c>
      <c r="D63" s="28">
        <f>D62+D51+D47+D46+D45+D36+D29+D26+D21+D16+D8</f>
        <v>34369.89031</v>
      </c>
      <c r="E63" s="26">
        <f>$D:$D/$B:$B*100</f>
        <v>5.103535172334326</v>
      </c>
      <c r="F63" s="26">
        <v>27699.089999999997</v>
      </c>
      <c r="G63" s="28">
        <v>26763.81</v>
      </c>
      <c r="H63" s="26">
        <v>96.62342697900908</v>
      </c>
      <c r="I63" s="28">
        <v>26763.81</v>
      </c>
    </row>
    <row r="64" spans="1:9" ht="12.75">
      <c r="A64" s="59" t="s">
        <v>18</v>
      </c>
      <c r="B64" s="28">
        <f>B65+B70+B71</f>
        <v>2436649.63677</v>
      </c>
      <c r="C64" s="28">
        <f>C65+C70+C71</f>
        <v>51320.40685</v>
      </c>
      <c r="D64" s="28">
        <f>D65+D70+D71</f>
        <v>26428.086470000002</v>
      </c>
      <c r="E64" s="26">
        <f>$D:$D/$B:$B*100</f>
        <v>1.0846075722660244</v>
      </c>
      <c r="F64" s="26">
        <v>43822.57000000001</v>
      </c>
      <c r="G64" s="28">
        <v>45456.15</v>
      </c>
      <c r="H64" s="26">
        <v>103.7277138241778</v>
      </c>
      <c r="I64" s="28">
        <v>45456.15</v>
      </c>
    </row>
    <row r="65" spans="1:9" ht="25.5">
      <c r="A65" s="59" t="s">
        <v>19</v>
      </c>
      <c r="B65" s="28">
        <f>SUM(B66:B69)</f>
        <v>2431827.30677</v>
      </c>
      <c r="C65" s="28">
        <f>SUM(C66:C69)</f>
        <v>51320.40685</v>
      </c>
      <c r="D65" s="28">
        <f>SUM(D66:D69)</f>
        <v>51320.40685</v>
      </c>
      <c r="E65" s="26">
        <f>$D:$D/$B:$B*100</f>
        <v>2.1103639517135266</v>
      </c>
      <c r="F65" s="26">
        <v>46091.770000000004</v>
      </c>
      <c r="G65" s="28">
        <v>52616.47</v>
      </c>
      <c r="H65" s="26">
        <v>114.15588943535906</v>
      </c>
      <c r="I65" s="28">
        <v>52616.47</v>
      </c>
    </row>
    <row r="66" spans="1:9" ht="12.75">
      <c r="A66" s="56" t="s">
        <v>108</v>
      </c>
      <c r="B66" s="28">
        <f>460860200/1000</f>
        <v>460860.2</v>
      </c>
      <c r="C66" s="28">
        <f>18665500/1000</f>
        <v>18665.5</v>
      </c>
      <c r="D66" s="28">
        <f>18665500/1000</f>
        <v>18665.5</v>
      </c>
      <c r="E66" s="26">
        <f>$D:$D/$B:$B*100</f>
        <v>4.050143622729843</v>
      </c>
      <c r="F66" s="26">
        <v>15902.8</v>
      </c>
      <c r="G66" s="28">
        <v>17476.6</v>
      </c>
      <c r="H66" s="26">
        <v>109.8963704504867</v>
      </c>
      <c r="I66" s="28">
        <v>17476.6</v>
      </c>
    </row>
    <row r="67" spans="1:9" ht="12.75" customHeight="1">
      <c r="A67" s="56" t="s">
        <v>109</v>
      </c>
      <c r="B67" s="28">
        <f>842782506.77/1000</f>
        <v>842782.50677</v>
      </c>
      <c r="C67" s="28">
        <f>702486/1000</f>
        <v>702.486</v>
      </c>
      <c r="D67" s="28">
        <f>702486/1000</f>
        <v>702.486</v>
      </c>
      <c r="E67" s="26">
        <f>$D:$D/$B:$B*100</f>
        <v>0.08335317764156112</v>
      </c>
      <c r="F67" s="26">
        <v>0</v>
      </c>
      <c r="G67" s="28">
        <v>0</v>
      </c>
      <c r="H67" s="26">
        <v>0</v>
      </c>
      <c r="I67" s="28">
        <v>0</v>
      </c>
    </row>
    <row r="68" spans="1:9" ht="18.75" customHeight="1">
      <c r="A68" s="56" t="s">
        <v>110</v>
      </c>
      <c r="B68" s="28">
        <f>1081078200/1000</f>
        <v>1081078.2</v>
      </c>
      <c r="C68" s="28">
        <f>31952420.85/1000</f>
        <v>31952.420850000002</v>
      </c>
      <c r="D68" s="28">
        <f>31952420.85/1000</f>
        <v>31952.420850000002</v>
      </c>
      <c r="E68" s="26">
        <f>$D:$D/$B:$B*100</f>
        <v>2.9556068053171365</v>
      </c>
      <c r="F68" s="26">
        <v>30188.97</v>
      </c>
      <c r="G68" s="28">
        <v>35139.87</v>
      </c>
      <c r="H68" s="26">
        <v>116.39969830040575</v>
      </c>
      <c r="I68" s="28">
        <v>35139.87</v>
      </c>
    </row>
    <row r="69" spans="1:9" ht="12.75" customHeight="1">
      <c r="A69" s="2" t="s">
        <v>122</v>
      </c>
      <c r="B69" s="36">
        <v>47106.4</v>
      </c>
      <c r="C69" s="36">
        <v>0</v>
      </c>
      <c r="D69" s="36">
        <v>0</v>
      </c>
      <c r="E69" s="26">
        <f>$D:$D/$B:$B*100</f>
        <v>0</v>
      </c>
      <c r="F69" s="26">
        <v>0</v>
      </c>
      <c r="G69" s="36">
        <v>0</v>
      </c>
      <c r="H69" s="26" t="s">
        <v>111</v>
      </c>
      <c r="I69" s="35">
        <v>0</v>
      </c>
    </row>
    <row r="70" spans="1:9" ht="12.75" customHeight="1">
      <c r="A70" s="59" t="s">
        <v>113</v>
      </c>
      <c r="B70" s="81">
        <f>4822330/1000</f>
        <v>4822.33</v>
      </c>
      <c r="C70" s="81">
        <v>0</v>
      </c>
      <c r="D70" s="81">
        <v>0</v>
      </c>
      <c r="E70" s="26">
        <f>$D:$D/$B:$B*100</f>
        <v>0</v>
      </c>
      <c r="F70" s="26">
        <v>0</v>
      </c>
      <c r="G70" s="28"/>
      <c r="H70" s="26" t="s">
        <v>112</v>
      </c>
      <c r="I70" s="28">
        <v>0</v>
      </c>
    </row>
    <row r="71" spans="1:9" ht="25.5">
      <c r="A71" s="59" t="s">
        <v>21</v>
      </c>
      <c r="B71" s="81">
        <v>0</v>
      </c>
      <c r="C71" s="81">
        <v>0</v>
      </c>
      <c r="D71" s="81">
        <f>-24892320.38/1000</f>
        <v>-24892.320379999997</v>
      </c>
      <c r="E71" s="26" t="e">
        <f>$D:$D/$B:$B*100</f>
        <v>#DIV/0!</v>
      </c>
      <c r="F71" s="26">
        <v>-2269.2</v>
      </c>
      <c r="G71" s="28">
        <v>-7160.32</v>
      </c>
      <c r="H71" s="26">
        <v>315.5438039837828</v>
      </c>
      <c r="I71" s="28">
        <v>-7160.32</v>
      </c>
    </row>
    <row r="72" spans="1:9" ht="12.75">
      <c r="A72" s="52" t="s">
        <v>20</v>
      </c>
      <c r="B72" s="27">
        <f>B9+B11+B12+B13+B14+B15+B17+B18+B19+B20+B22+B23+B24+B25+B27+B28+B30+B31+B32+B38+B39+B40+B41+B42+B43+B44+B45+B46+B48+B49+B50+B51+B62+B66+B67+B68+B69+B70+B71</f>
        <v>3110102.23677</v>
      </c>
      <c r="C72" s="27">
        <f>C9+C11+C12+C13+C14+C15+C17+C18+C19+C20+C22+C23+C24+C25+C27+C28+C30+C31+C32+C38+C39+C40+C41+C42+C43+C44+C45+C46+C48+C49+C50+C51+C62+C66+C67+C68+C69+C70+C71</f>
        <v>85178.19214999999</v>
      </c>
      <c r="D72" s="27">
        <f>D9+D11+D12+D13+D14+D15+D17+D18+D19+D20+D22+D23+D24+D25+D27+D28+D30+D31+D32+D38+D39+D40+D41+D42+D43+D44+D45+D46+D48+D49+D50+D51+D62+D66+D67+D68+D69+D70+D71</f>
        <v>60797.976780000005</v>
      </c>
      <c r="E72" s="26">
        <f>$D:$D/$B:$B*100</f>
        <v>1.9548546044949895</v>
      </c>
      <c r="F72" s="26">
        <v>71521.66</v>
      </c>
      <c r="G72" s="27">
        <v>72219.96</v>
      </c>
      <c r="H72" s="26">
        <v>100.97634758477363</v>
      </c>
      <c r="I72" s="27">
        <v>72219.96</v>
      </c>
    </row>
    <row r="73" spans="1:9" ht="12.75" hidden="1">
      <c r="A73" s="59"/>
      <c r="B73" s="66"/>
      <c r="C73" s="66"/>
      <c r="D73" s="66"/>
      <c r="E73" s="50"/>
      <c r="F73" s="50"/>
      <c r="G73" s="66"/>
      <c r="H73" s="50"/>
      <c r="I73" s="66"/>
    </row>
    <row r="74" spans="1:9" ht="12.75" hidden="1">
      <c r="A74" s="59"/>
      <c r="B74" s="61"/>
      <c r="C74" s="61"/>
      <c r="D74" s="61"/>
      <c r="E74" s="50"/>
      <c r="F74" s="50"/>
      <c r="G74" s="61"/>
      <c r="H74" s="50"/>
      <c r="I74" s="61"/>
    </row>
    <row r="75" spans="1:9" ht="12.75" hidden="1">
      <c r="A75" s="52"/>
      <c r="B75" s="62"/>
      <c r="C75" s="62"/>
      <c r="D75" s="62"/>
      <c r="E75" s="50"/>
      <c r="F75" s="50"/>
      <c r="G75" s="62"/>
      <c r="H75" s="50"/>
      <c r="I75" s="62"/>
    </row>
    <row r="76" spans="1:9" ht="12.75" hidden="1">
      <c r="A76" s="67"/>
      <c r="B76" s="68"/>
      <c r="C76" s="68"/>
      <c r="D76" s="68"/>
      <c r="E76" s="69"/>
      <c r="F76" s="69"/>
      <c r="G76" s="68"/>
      <c r="H76" s="69"/>
      <c r="I76" s="70"/>
    </row>
    <row r="77" spans="1:9" ht="12.75">
      <c r="A77" s="86" t="s">
        <v>22</v>
      </c>
      <c r="B77" s="87"/>
      <c r="C77" s="87"/>
      <c r="D77" s="87"/>
      <c r="E77" s="87"/>
      <c r="F77" s="87"/>
      <c r="G77" s="87"/>
      <c r="H77" s="87"/>
      <c r="I77" s="88"/>
    </row>
    <row r="78" spans="1:9" ht="12.75">
      <c r="A78" s="7" t="s">
        <v>23</v>
      </c>
      <c r="B78" s="35">
        <f>B79+B80+B81+B82+B83+B84+B85+B86</f>
        <v>312210.643</v>
      </c>
      <c r="C78" s="35">
        <f>C79+C80+C81+C82+C83+C84+C85+C86</f>
        <v>6663.30011</v>
      </c>
      <c r="D78" s="35">
        <f>D79+D80+D81+D82+D83+D84+D85+D86</f>
        <v>3236.1400000000003</v>
      </c>
      <c r="E78" s="26">
        <f>$D:$D/$B:$B*100</f>
        <v>1.036524562040635</v>
      </c>
      <c r="F78" s="26">
        <f>$D:$D/$C:$C*100</f>
        <v>48.56662534444963</v>
      </c>
      <c r="G78" s="35">
        <f>G79+G80+G81+G82+G83+G84+G85+G86</f>
        <v>3625.7</v>
      </c>
      <c r="H78" s="26">
        <f>$D:$D/$G:$G*100</f>
        <v>89.25559202360924</v>
      </c>
      <c r="I78" s="35">
        <f>I79+I80+I81+I82+I83+I84+I85+I86</f>
        <v>3267.7400000000002</v>
      </c>
    </row>
    <row r="79" spans="1:9" ht="14.25" customHeight="1">
      <c r="A79" s="8" t="s">
        <v>24</v>
      </c>
      <c r="B79" s="36">
        <f>2878440/1000</f>
        <v>2878.44</v>
      </c>
      <c r="C79" s="36">
        <v>0</v>
      </c>
      <c r="D79" s="36">
        <v>0</v>
      </c>
      <c r="E79" s="29">
        <f>$D:$D/$B:$B*100</f>
        <v>0</v>
      </c>
      <c r="F79" s="29">
        <v>0</v>
      </c>
      <c r="G79" s="36">
        <v>68</v>
      </c>
      <c r="H79" s="29">
        <v>0</v>
      </c>
      <c r="I79" s="36">
        <f>D79</f>
        <v>0</v>
      </c>
    </row>
    <row r="80" spans="1:9" ht="12.75">
      <c r="A80" s="8" t="s">
        <v>25</v>
      </c>
      <c r="B80" s="36">
        <f>6543130/1000</f>
        <v>6543.13</v>
      </c>
      <c r="C80" s="36">
        <f>462460.11/1000</f>
        <v>462.46011</v>
      </c>
      <c r="D80" s="36">
        <v>176.91</v>
      </c>
      <c r="E80" s="29">
        <f>$D:$D/$B:$B*100</f>
        <v>2.703751874103067</v>
      </c>
      <c r="F80" s="29">
        <f>$D:$D/$C:$C*100</f>
        <v>38.25411017611876</v>
      </c>
      <c r="G80" s="36">
        <v>426</v>
      </c>
      <c r="H80" s="29">
        <f>$D:$D/$G:$G*100</f>
        <v>41.528169014084504</v>
      </c>
      <c r="I80" s="36">
        <f>D80</f>
        <v>176.91</v>
      </c>
    </row>
    <row r="81" spans="1:9" ht="25.5">
      <c r="A81" s="8" t="s">
        <v>26</v>
      </c>
      <c r="B81" s="36">
        <f>63980770/1000</f>
        <v>63980.77</v>
      </c>
      <c r="C81" s="36">
        <v>4457.05</v>
      </c>
      <c r="D81" s="36">
        <v>1687.84</v>
      </c>
      <c r="E81" s="29">
        <f>$D:$D/$B:$B*100</f>
        <v>2.6380426493773053</v>
      </c>
      <c r="F81" s="29">
        <f>$D:$D/$C:$C*100</f>
        <v>37.86899406558149</v>
      </c>
      <c r="G81" s="36">
        <v>1390.8</v>
      </c>
      <c r="H81" s="29">
        <f>$D:$D/$G:$G*100</f>
        <v>121.35749209088293</v>
      </c>
      <c r="I81" s="36">
        <f aca="true" t="shared" si="0" ref="I81:I125">D81</f>
        <v>1687.84</v>
      </c>
    </row>
    <row r="82" spans="1:9" ht="12.75">
      <c r="A82" s="8" t="s">
        <v>72</v>
      </c>
      <c r="B82" s="45">
        <f>327700/1000</f>
        <v>327.7</v>
      </c>
      <c r="C82" s="45">
        <v>0</v>
      </c>
      <c r="D82" s="36">
        <v>0</v>
      </c>
      <c r="E82" s="29">
        <v>0</v>
      </c>
      <c r="F82" s="29">
        <v>0</v>
      </c>
      <c r="G82" s="45">
        <v>0</v>
      </c>
      <c r="H82" s="29">
        <v>0</v>
      </c>
      <c r="I82" s="36">
        <f>D83</f>
        <v>437.11</v>
      </c>
    </row>
    <row r="83" spans="1:9" ht="25.5">
      <c r="A83" s="1" t="s">
        <v>27</v>
      </c>
      <c r="B83" s="28">
        <f>15705720/1000</f>
        <v>15705.72</v>
      </c>
      <c r="C83" s="28">
        <v>640.93</v>
      </c>
      <c r="D83" s="36">
        <v>437.11</v>
      </c>
      <c r="E83" s="29">
        <f>$D:$D/$B:$B*100</f>
        <v>2.7831261476710396</v>
      </c>
      <c r="F83" s="29">
        <v>0</v>
      </c>
      <c r="G83" s="28">
        <v>823.7</v>
      </c>
      <c r="H83" s="29">
        <f>$D:$D/$G:$G*100</f>
        <v>53.06665047954352</v>
      </c>
      <c r="I83" s="36">
        <f>D84</f>
        <v>0</v>
      </c>
    </row>
    <row r="84" spans="1:9" ht="12.75" hidden="1">
      <c r="A84" s="8" t="s">
        <v>28</v>
      </c>
      <c r="B84" s="36">
        <v>0</v>
      </c>
      <c r="C84" s="28">
        <v>0</v>
      </c>
      <c r="D84" s="36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D85</f>
        <v>0</v>
      </c>
    </row>
    <row r="85" spans="1:9" ht="12.75">
      <c r="A85" s="8" t="s">
        <v>29</v>
      </c>
      <c r="B85" s="36">
        <f>1000000/1000</f>
        <v>1000</v>
      </c>
      <c r="C85" s="28">
        <v>0</v>
      </c>
      <c r="D85" s="36">
        <v>0</v>
      </c>
      <c r="E85" s="29">
        <f>$D:$D/$B:$B*100</f>
        <v>0</v>
      </c>
      <c r="F85" s="29">
        <v>0</v>
      </c>
      <c r="G85" s="36">
        <v>0</v>
      </c>
      <c r="H85" s="29">
        <v>0</v>
      </c>
      <c r="I85" s="36">
        <f>D86</f>
        <v>934.28</v>
      </c>
    </row>
    <row r="86" spans="1:9" ht="12.75">
      <c r="A86" s="1" t="s">
        <v>30</v>
      </c>
      <c r="B86" s="36">
        <f>221774883/1000</f>
        <v>221774.883</v>
      </c>
      <c r="C86" s="28">
        <v>1102.86</v>
      </c>
      <c r="D86" s="36">
        <v>934.28</v>
      </c>
      <c r="E86" s="29">
        <f>$D:$D/$B:$B*100</f>
        <v>0.42127403579782297</v>
      </c>
      <c r="F86" s="29">
        <f>$D:$D/$C:$C*100</f>
        <v>84.71428830495258</v>
      </c>
      <c r="G86" s="36">
        <v>917.2</v>
      </c>
      <c r="H86" s="29">
        <f>$D:$D/$G:$G*100</f>
        <v>101.86218927169645</v>
      </c>
      <c r="I86" s="36">
        <f>D87</f>
        <v>31.6</v>
      </c>
    </row>
    <row r="87" spans="1:9" ht="12.75">
      <c r="A87" s="7" t="s">
        <v>31</v>
      </c>
      <c r="B87" s="27">
        <f>428600/1000</f>
        <v>428.6</v>
      </c>
      <c r="C87" s="28">
        <v>35</v>
      </c>
      <c r="D87" s="36">
        <v>31.6</v>
      </c>
      <c r="E87" s="26">
        <f>$D:$D/$B:$B*100</f>
        <v>7.372841810545963</v>
      </c>
      <c r="F87" s="26">
        <f>$D:$D/$C:$C*100</f>
        <v>90.28571428571429</v>
      </c>
      <c r="G87" s="35">
        <v>33.7</v>
      </c>
      <c r="H87" s="26">
        <v>0</v>
      </c>
      <c r="I87" s="35">
        <f>D87</f>
        <v>31.6</v>
      </c>
    </row>
    <row r="88" spans="1:9" ht="25.5">
      <c r="A88" s="9" t="s">
        <v>32</v>
      </c>
      <c r="B88" s="27">
        <f>4928424.15/1000</f>
        <v>4928.424150000001</v>
      </c>
      <c r="C88" s="28">
        <v>109.72</v>
      </c>
      <c r="D88" s="36">
        <v>87</v>
      </c>
      <c r="E88" s="26">
        <f>$D:$D/$B:$B*100</f>
        <v>1.7652701421812484</v>
      </c>
      <c r="F88" s="26">
        <f>$D:$D/$C:$C*100</f>
        <v>79.29274516952242</v>
      </c>
      <c r="G88" s="27">
        <v>130</v>
      </c>
      <c r="H88" s="26">
        <f>$D:$D/$G:$G*100</f>
        <v>66.92307692307692</v>
      </c>
      <c r="I88" s="35">
        <f t="shared" si="0"/>
        <v>87</v>
      </c>
    </row>
    <row r="89" spans="1:9" ht="12.75">
      <c r="A89" s="7" t="s">
        <v>33</v>
      </c>
      <c r="B89" s="35">
        <f>B90+B91+B92+B93+B94</f>
        <v>112585.3138</v>
      </c>
      <c r="C89" s="35">
        <f>C90+C91+C92+C93+C94</f>
        <v>931.56</v>
      </c>
      <c r="D89" s="35">
        <f>D90+D91+D92+D93+D94</f>
        <v>880.29</v>
      </c>
      <c r="E89" s="26">
        <f>$D:$D/$B:$B*100</f>
        <v>0.7818870599444028</v>
      </c>
      <c r="F89" s="26">
        <f>$D:$D/$C:$C*100</f>
        <v>94.4963287388896</v>
      </c>
      <c r="G89" s="35">
        <f>G90+G91+G92+G93+G94</f>
        <v>620.5</v>
      </c>
      <c r="H89" s="26">
        <f>$D:$D/$G:$G*100</f>
        <v>141.86784850926674</v>
      </c>
      <c r="I89" s="35">
        <f t="shared" si="0"/>
        <v>880.29</v>
      </c>
    </row>
    <row r="90" spans="1:9" ht="12.75" customHeight="1" hidden="1">
      <c r="A90" s="10" t="s">
        <v>64</v>
      </c>
      <c r="B90" s="36"/>
      <c r="C90" s="36"/>
      <c r="D90" s="36"/>
      <c r="E90" s="29">
        <v>0</v>
      </c>
      <c r="F90" s="29">
        <v>0</v>
      </c>
      <c r="G90" s="36"/>
      <c r="H90" s="29">
        <v>0</v>
      </c>
      <c r="I90" s="36">
        <f t="shared" si="0"/>
        <v>0</v>
      </c>
    </row>
    <row r="91" spans="1:9" ht="12.75" customHeight="1">
      <c r="A91" s="10" t="s">
        <v>67</v>
      </c>
      <c r="B91" s="36">
        <f>550000/1000</f>
        <v>550</v>
      </c>
      <c r="C91" s="36">
        <v>0</v>
      </c>
      <c r="D91" s="36">
        <v>0</v>
      </c>
      <c r="E91" s="29">
        <v>0</v>
      </c>
      <c r="F91" s="29">
        <v>0</v>
      </c>
      <c r="G91" s="36">
        <v>0</v>
      </c>
      <c r="H91" s="29">
        <v>0</v>
      </c>
      <c r="I91" s="36">
        <f t="shared" si="0"/>
        <v>0</v>
      </c>
    </row>
    <row r="92" spans="1:9" ht="12.75">
      <c r="A92" s="8" t="s">
        <v>34</v>
      </c>
      <c r="B92" s="36">
        <f>27875603.8/1000</f>
        <v>27875.6038</v>
      </c>
      <c r="C92" s="36">
        <v>0</v>
      </c>
      <c r="D92" s="36">
        <v>0</v>
      </c>
      <c r="E92" s="29">
        <f>$D:$D/$B:$B*100</f>
        <v>0</v>
      </c>
      <c r="F92" s="29">
        <v>0</v>
      </c>
      <c r="G92" s="36">
        <v>0</v>
      </c>
      <c r="H92" s="29">
        <v>0</v>
      </c>
      <c r="I92" s="36">
        <f t="shared" si="0"/>
        <v>0</v>
      </c>
    </row>
    <row r="93" spans="1:9" ht="12.75">
      <c r="A93" s="10" t="s">
        <v>77</v>
      </c>
      <c r="B93" s="28">
        <f>65418760/1000</f>
        <v>65418.76</v>
      </c>
      <c r="C93" s="28">
        <v>0</v>
      </c>
      <c r="D93" s="28">
        <v>0</v>
      </c>
      <c r="E93" s="29">
        <f>$D:$D/$B:$B*100</f>
        <v>0</v>
      </c>
      <c r="F93" s="29" t="e">
        <f>$D:$D/$C:$C*100</f>
        <v>#DIV/0!</v>
      </c>
      <c r="G93" s="28">
        <v>0</v>
      </c>
      <c r="H93" s="29">
        <v>0</v>
      </c>
      <c r="I93" s="36">
        <f t="shared" si="0"/>
        <v>0</v>
      </c>
    </row>
    <row r="94" spans="1:9" ht="12.75">
      <c r="A94" s="8" t="s">
        <v>35</v>
      </c>
      <c r="B94" s="36">
        <f>18740950/1000</f>
        <v>18740.95</v>
      </c>
      <c r="C94" s="28">
        <v>931.56</v>
      </c>
      <c r="D94" s="28">
        <v>880.29</v>
      </c>
      <c r="E94" s="29">
        <f>$D:$D/$B:$B*100</f>
        <v>4.697147156360803</v>
      </c>
      <c r="F94" s="29">
        <f>$D:$D/$C:$C*100</f>
        <v>94.4963287388896</v>
      </c>
      <c r="G94" s="36">
        <v>620.5</v>
      </c>
      <c r="H94" s="29">
        <f>$D:$D/$G:$G*100</f>
        <v>141.86784850926674</v>
      </c>
      <c r="I94" s="36">
        <f t="shared" si="0"/>
        <v>880.29</v>
      </c>
    </row>
    <row r="95" spans="1:9" ht="12.75">
      <c r="A95" s="7" t="s">
        <v>36</v>
      </c>
      <c r="B95" s="35">
        <f>B97+B98+B99+B96</f>
        <v>477755.80864</v>
      </c>
      <c r="C95" s="28">
        <f>C97+C98+C99+C96</f>
        <v>1713.42</v>
      </c>
      <c r="D95" s="35">
        <f>D97+D98+D99+D96</f>
        <v>1626.4299999999998</v>
      </c>
      <c r="E95" s="35">
        <f>E98+E99+E96</f>
        <v>0.7856953886592561</v>
      </c>
      <c r="F95" s="26">
        <f>$D:$D/$C:$C*100</f>
        <v>94.92301945815969</v>
      </c>
      <c r="G95" s="35">
        <f>G97+G98+G99+G96</f>
        <v>2273.4</v>
      </c>
      <c r="H95" s="35">
        <f>H97+H98+H99</f>
        <v>176.05003108238222</v>
      </c>
      <c r="I95" s="35">
        <f t="shared" si="0"/>
        <v>1626.4299999999998</v>
      </c>
    </row>
    <row r="96" spans="1:9" ht="12.75">
      <c r="A96" s="8" t="s">
        <v>37</v>
      </c>
      <c r="B96" s="71">
        <f>35000000/1000</f>
        <v>35000</v>
      </c>
      <c r="C96" s="49">
        <v>0</v>
      </c>
      <c r="D96" s="49">
        <v>0</v>
      </c>
      <c r="E96" s="48">
        <v>0</v>
      </c>
      <c r="F96" s="29">
        <v>0</v>
      </c>
      <c r="G96" s="49">
        <v>0</v>
      </c>
      <c r="H96" s="29">
        <v>0</v>
      </c>
      <c r="I96" s="36">
        <f t="shared" si="0"/>
        <v>0</v>
      </c>
    </row>
    <row r="97" spans="1:9" ht="12.75">
      <c r="A97" s="8" t="s">
        <v>38</v>
      </c>
      <c r="B97" s="36">
        <f>30675160/1000</f>
        <v>30675.16</v>
      </c>
      <c r="C97" s="36">
        <v>0</v>
      </c>
      <c r="D97" s="36">
        <v>0</v>
      </c>
      <c r="E97" s="29">
        <f>$D:$D/$B:$B*100</f>
        <v>0</v>
      </c>
      <c r="F97" s="29">
        <v>0</v>
      </c>
      <c r="G97" s="36">
        <v>0</v>
      </c>
      <c r="H97" s="29">
        <v>0</v>
      </c>
      <c r="I97" s="36">
        <f t="shared" si="0"/>
        <v>0</v>
      </c>
    </row>
    <row r="98" spans="1:9" ht="12.75">
      <c r="A98" s="8" t="s">
        <v>39</v>
      </c>
      <c r="B98" s="36">
        <f>290979247.99/1000</f>
        <v>290979.24799</v>
      </c>
      <c r="C98" s="28">
        <v>1156.09</v>
      </c>
      <c r="D98" s="28">
        <v>1156.09</v>
      </c>
      <c r="E98" s="29">
        <f>$D:$D/$B:$B*100</f>
        <v>0.39731012021851503</v>
      </c>
      <c r="F98" s="29">
        <f>$D:$D/$C:$C*100</f>
        <v>100</v>
      </c>
      <c r="G98" s="36">
        <v>1860.5</v>
      </c>
      <c r="H98" s="29">
        <f>$D:$D/$G:$G*100</f>
        <v>62.1386723998925</v>
      </c>
      <c r="I98" s="36">
        <f t="shared" si="0"/>
        <v>1156.09</v>
      </c>
    </row>
    <row r="99" spans="1:9" ht="12.75">
      <c r="A99" s="8" t="s">
        <v>40</v>
      </c>
      <c r="B99" s="36">
        <f>121101400.65/1000</f>
        <v>121101.40065000001</v>
      </c>
      <c r="C99" s="28">
        <v>557.33</v>
      </c>
      <c r="D99" s="28">
        <v>470.34</v>
      </c>
      <c r="E99" s="29">
        <f>$D:$D/$B:$B*100</f>
        <v>0.38838526844074117</v>
      </c>
      <c r="F99" s="29">
        <f>$D:$D/$C:$C*100</f>
        <v>84.39165306012595</v>
      </c>
      <c r="G99" s="36">
        <v>412.9</v>
      </c>
      <c r="H99" s="29">
        <f>$D:$D/$G:$G*100</f>
        <v>113.91135868248972</v>
      </c>
      <c r="I99" s="36">
        <f t="shared" si="0"/>
        <v>470.34</v>
      </c>
    </row>
    <row r="100" spans="1:9" ht="12.75">
      <c r="A100" s="11" t="s">
        <v>115</v>
      </c>
      <c r="B100" s="35">
        <f>B101</f>
        <v>1950.5</v>
      </c>
      <c r="C100" s="35">
        <f>C101</f>
        <v>0</v>
      </c>
      <c r="D100" s="35">
        <f>D101</f>
        <v>0</v>
      </c>
      <c r="E100" s="26">
        <f>$D:$D/$B:$B*100</f>
        <v>0</v>
      </c>
      <c r="F100" s="26"/>
      <c r="G100" s="35">
        <f>G101</f>
        <v>0</v>
      </c>
      <c r="H100" s="26">
        <v>0</v>
      </c>
      <c r="I100" s="35">
        <f t="shared" si="0"/>
        <v>0</v>
      </c>
    </row>
    <row r="101" spans="1:9" ht="25.5">
      <c r="A101" s="41" t="s">
        <v>143</v>
      </c>
      <c r="B101" s="36">
        <f>1950500/1000</f>
        <v>1950.5</v>
      </c>
      <c r="C101" s="36">
        <v>0</v>
      </c>
      <c r="D101" s="36">
        <v>0</v>
      </c>
      <c r="E101" s="29">
        <f>$D:$D/$B:$B*100</f>
        <v>0</v>
      </c>
      <c r="F101" s="29"/>
      <c r="G101" s="36">
        <v>0</v>
      </c>
      <c r="H101" s="29">
        <v>0</v>
      </c>
      <c r="I101" s="36">
        <f t="shared" si="0"/>
        <v>0</v>
      </c>
    </row>
    <row r="102" spans="1:9" ht="12.75">
      <c r="A102" s="11" t="s">
        <v>41</v>
      </c>
      <c r="B102" s="35">
        <f>B103+B104+B106+B107+B108+B105</f>
        <v>1605135.2870000005</v>
      </c>
      <c r="C102" s="35">
        <f>C103+C104+C106+C107+C108+C105</f>
        <v>46018.09</v>
      </c>
      <c r="D102" s="35">
        <f>D103+D104+D106+D107+D108+D105</f>
        <v>45174.7</v>
      </c>
      <c r="E102" s="35">
        <f>E103+E104+E107+E108+E106</f>
        <v>9.278743350226094</v>
      </c>
      <c r="F102" s="35">
        <f>F103+F104+F107+F108+F106</f>
        <v>381.7816481251158</v>
      </c>
      <c r="G102" s="35">
        <f>G103+G104+G106+G107+G108+G105</f>
        <v>50437.9</v>
      </c>
      <c r="H102" s="35">
        <f>H103+H104+H107+H108+H106</f>
        <v>371.9499847418778</v>
      </c>
      <c r="I102" s="35">
        <f t="shared" si="0"/>
        <v>45174.7</v>
      </c>
    </row>
    <row r="103" spans="1:9" ht="12.75">
      <c r="A103" s="8" t="s">
        <v>42</v>
      </c>
      <c r="B103" s="36">
        <f>601601900/1000</f>
        <v>601601.9</v>
      </c>
      <c r="C103" s="28">
        <v>19160.43</v>
      </c>
      <c r="D103" s="28">
        <v>19160.43</v>
      </c>
      <c r="E103" s="29">
        <f>$D:$D/$B:$B*100</f>
        <v>3.1849018428964406</v>
      </c>
      <c r="F103" s="29">
        <f>$D:$D/$C:$C*100</f>
        <v>100</v>
      </c>
      <c r="G103" s="36">
        <v>21981.4</v>
      </c>
      <c r="H103" s="29">
        <f>$D:$D/$G:$G*100</f>
        <v>87.16655899988172</v>
      </c>
      <c r="I103" s="36">
        <f t="shared" si="0"/>
        <v>19160.43</v>
      </c>
    </row>
    <row r="104" spans="1:9" ht="12.75">
      <c r="A104" s="8" t="s">
        <v>43</v>
      </c>
      <c r="B104" s="36">
        <f>636730121/1000</f>
        <v>636730.121</v>
      </c>
      <c r="C104" s="28">
        <v>18659</v>
      </c>
      <c r="D104" s="28">
        <v>18625.82</v>
      </c>
      <c r="E104" s="29">
        <f>$D:$D/$B:$B*100</f>
        <v>2.9252299185638804</v>
      </c>
      <c r="F104" s="29">
        <f>$D:$D/$C:$C*100</f>
        <v>99.82217696553941</v>
      </c>
      <c r="G104" s="36">
        <v>20504.1</v>
      </c>
      <c r="H104" s="29">
        <f>$D:$D/$G:$G*100</f>
        <v>90.83949063845768</v>
      </c>
      <c r="I104" s="36">
        <f t="shared" si="0"/>
        <v>18625.82</v>
      </c>
    </row>
    <row r="105" spans="1:9" ht="12.75">
      <c r="A105" s="22" t="s">
        <v>105</v>
      </c>
      <c r="B105" s="36">
        <f>141129380/1000</f>
        <v>141129.38</v>
      </c>
      <c r="C105" s="28">
        <v>3197.11</v>
      </c>
      <c r="D105" s="28">
        <v>3197.11</v>
      </c>
      <c r="E105" s="29">
        <f>$D:$D/$B:$B*100</f>
        <v>2.2653752181154627</v>
      </c>
      <c r="F105" s="29">
        <f>$D:$D/$C:$C*100</f>
        <v>100</v>
      </c>
      <c r="G105" s="36">
        <v>3925.6</v>
      </c>
      <c r="H105" s="29">
        <f>$D:$D/$G:$G*100</f>
        <v>81.44258202567761</v>
      </c>
      <c r="I105" s="36">
        <f t="shared" si="0"/>
        <v>3197.11</v>
      </c>
    </row>
    <row r="106" spans="1:9" ht="25.5">
      <c r="A106" s="8" t="s">
        <v>123</v>
      </c>
      <c r="B106" s="36">
        <f>1704870/1000</f>
        <v>1704.87</v>
      </c>
      <c r="C106" s="28">
        <v>8</v>
      </c>
      <c r="D106" s="28">
        <v>0</v>
      </c>
      <c r="E106" s="29">
        <f>$D:$D/$B:$B*100</f>
        <v>0</v>
      </c>
      <c r="F106" s="29">
        <f>$D:$D/$C:$C*100</f>
        <v>0</v>
      </c>
      <c r="G106" s="36">
        <v>0</v>
      </c>
      <c r="H106" s="29">
        <v>0</v>
      </c>
      <c r="I106" s="36">
        <f t="shared" si="0"/>
        <v>0</v>
      </c>
    </row>
    <row r="107" spans="1:9" ht="12.75">
      <c r="A107" s="8" t="s">
        <v>44</v>
      </c>
      <c r="B107" s="36">
        <f>52293739/1000</f>
        <v>52293.739</v>
      </c>
      <c r="C107" s="28">
        <v>546.84</v>
      </c>
      <c r="D107" s="28">
        <v>546.84</v>
      </c>
      <c r="E107" s="29">
        <f>$D:$D/$B:$B*100</f>
        <v>1.0457083590829106</v>
      </c>
      <c r="F107" s="29">
        <f>$D:$D/$C:$C*100</f>
        <v>100</v>
      </c>
      <c r="G107" s="36">
        <v>631.4</v>
      </c>
      <c r="H107" s="29">
        <f>$D:$D/$G:$G*100</f>
        <v>86.60753880266077</v>
      </c>
      <c r="I107" s="36">
        <f t="shared" si="0"/>
        <v>546.84</v>
      </c>
    </row>
    <row r="108" spans="1:9" ht="12.75">
      <c r="A108" s="8" t="s">
        <v>45</v>
      </c>
      <c r="B108" s="36">
        <f>171675277/1000</f>
        <v>171675.277</v>
      </c>
      <c r="C108" s="28">
        <v>4446.71</v>
      </c>
      <c r="D108" s="28">
        <v>3644.5</v>
      </c>
      <c r="E108" s="29">
        <f>$D:$D/$B:$B*100</f>
        <v>2.122903229682862</v>
      </c>
      <c r="F108" s="29">
        <f>$D:$D/$C:$C*100</f>
        <v>81.9594711595764</v>
      </c>
      <c r="G108" s="28">
        <v>3395.4</v>
      </c>
      <c r="H108" s="29">
        <f>$D:$D/$G:$G*100</f>
        <v>107.33639630087765</v>
      </c>
      <c r="I108" s="36">
        <f t="shared" si="0"/>
        <v>3644.5</v>
      </c>
    </row>
    <row r="109" spans="1:9" ht="25.5">
      <c r="A109" s="11" t="s">
        <v>46</v>
      </c>
      <c r="B109" s="35">
        <f>B110+B111</f>
        <v>281596.454</v>
      </c>
      <c r="C109" s="35">
        <f>C110+C111</f>
        <v>3397</v>
      </c>
      <c r="D109" s="35">
        <f>D110+D111</f>
        <v>3397</v>
      </c>
      <c r="E109" s="26">
        <f>$D:$D/$B:$B*100</f>
        <v>1.2063362133104132</v>
      </c>
      <c r="F109" s="26">
        <f>$D:$D/$C:$C*100</f>
        <v>100</v>
      </c>
      <c r="G109" s="35">
        <f>G110+G111</f>
        <v>3121.8</v>
      </c>
      <c r="H109" s="26">
        <f>$D:$D/$G:$G*100</f>
        <v>108.81542699724518</v>
      </c>
      <c r="I109" s="35">
        <f t="shared" si="0"/>
        <v>3397</v>
      </c>
    </row>
    <row r="110" spans="1:9" ht="12.75">
      <c r="A110" s="8" t="s">
        <v>47</v>
      </c>
      <c r="B110" s="36">
        <f>196946894/1000</f>
        <v>196946.894</v>
      </c>
      <c r="C110" s="28">
        <v>3340</v>
      </c>
      <c r="D110" s="28">
        <v>3340</v>
      </c>
      <c r="E110" s="29">
        <f>$D:$D/$B:$B*100</f>
        <v>1.6958886388936907</v>
      </c>
      <c r="F110" s="29">
        <f>$D:$D/$C:$C*100</f>
        <v>100</v>
      </c>
      <c r="G110" s="36">
        <v>3045.8</v>
      </c>
      <c r="H110" s="29">
        <f>$D:$D/$G:$G*100</f>
        <v>109.65920283669315</v>
      </c>
      <c r="I110" s="36">
        <f t="shared" si="0"/>
        <v>3340</v>
      </c>
    </row>
    <row r="111" spans="1:9" ht="25.5">
      <c r="A111" s="8" t="s">
        <v>48</v>
      </c>
      <c r="B111" s="36">
        <f>84649560/1000</f>
        <v>84649.56</v>
      </c>
      <c r="C111" s="28">
        <v>57</v>
      </c>
      <c r="D111" s="28">
        <v>57</v>
      </c>
      <c r="E111" s="29">
        <f>$D:$D/$B:$B*100</f>
        <v>0.06733643978775554</v>
      </c>
      <c r="F111" s="29">
        <f>$D:$D/$C:$C*100</f>
        <v>100</v>
      </c>
      <c r="G111" s="36">
        <v>76</v>
      </c>
      <c r="H111" s="29">
        <v>0</v>
      </c>
      <c r="I111" s="36">
        <f t="shared" si="0"/>
        <v>57</v>
      </c>
    </row>
    <row r="112" spans="1:9" ht="12.75">
      <c r="A112" s="11" t="s">
        <v>97</v>
      </c>
      <c r="B112" s="35">
        <f>B113</f>
        <v>158.13</v>
      </c>
      <c r="C112" s="35">
        <f>C113</f>
        <v>0</v>
      </c>
      <c r="D112" s="35">
        <f>D113</f>
        <v>0</v>
      </c>
      <c r="E112" s="26">
        <f>$D:$D/$B:$B*100</f>
        <v>0</v>
      </c>
      <c r="F112" s="26">
        <v>0</v>
      </c>
      <c r="G112" s="35">
        <f>G113</f>
        <v>0</v>
      </c>
      <c r="H112" s="26">
        <v>0</v>
      </c>
      <c r="I112" s="36">
        <f t="shared" si="0"/>
        <v>0</v>
      </c>
    </row>
    <row r="113" spans="1:9" ht="12.75">
      <c r="A113" s="8" t="s">
        <v>98</v>
      </c>
      <c r="B113" s="36">
        <f>158130/1000</f>
        <v>158.13</v>
      </c>
      <c r="C113" s="36">
        <v>0</v>
      </c>
      <c r="D113" s="36">
        <v>0</v>
      </c>
      <c r="E113" s="29">
        <f>$D:$D/$B:$B*100</f>
        <v>0</v>
      </c>
      <c r="F113" s="29">
        <v>0</v>
      </c>
      <c r="G113" s="36">
        <v>0</v>
      </c>
      <c r="H113" s="29">
        <v>0</v>
      </c>
      <c r="I113" s="36">
        <f t="shared" si="0"/>
        <v>0</v>
      </c>
    </row>
    <row r="114" spans="1:9" ht="12.75">
      <c r="A114" s="11" t="s">
        <v>49</v>
      </c>
      <c r="B114" s="35">
        <f>B115+B116+B117+B118+B119</f>
        <v>176555.7547</v>
      </c>
      <c r="C114" s="35">
        <f>C115+C116+C117+C118+C119</f>
        <v>2196.13</v>
      </c>
      <c r="D114" s="35">
        <f>D115+D116+D117+D118+D119</f>
        <v>1872.3899999999999</v>
      </c>
      <c r="E114" s="26">
        <f>$D:$D/$B:$B*100</f>
        <v>1.0605091876962762</v>
      </c>
      <c r="F114" s="26">
        <f>$D:$D/$C:$C*100</f>
        <v>85.25861401647443</v>
      </c>
      <c r="G114" s="35">
        <f>G115+G116+G117+G118+G119</f>
        <v>1305.1</v>
      </c>
      <c r="H114" s="26">
        <v>0</v>
      </c>
      <c r="I114" s="36">
        <f t="shared" si="0"/>
        <v>1872.3899999999999</v>
      </c>
    </row>
    <row r="115" spans="1:9" ht="12.75">
      <c r="A115" s="8" t="s">
        <v>50</v>
      </c>
      <c r="B115" s="36">
        <f>2909750/1000</f>
        <v>2909.75</v>
      </c>
      <c r="C115" s="36">
        <v>0</v>
      </c>
      <c r="D115" s="36">
        <v>0</v>
      </c>
      <c r="E115" s="29">
        <f>$D:$D/$B:$B*100</f>
        <v>0</v>
      </c>
      <c r="F115" s="29">
        <v>0</v>
      </c>
      <c r="G115" s="36">
        <v>0</v>
      </c>
      <c r="H115" s="29">
        <v>0</v>
      </c>
      <c r="I115" s="36">
        <f t="shared" si="0"/>
        <v>0</v>
      </c>
    </row>
    <row r="116" spans="1:9" ht="12.75" customHeight="1" hidden="1">
      <c r="A116" s="8" t="s">
        <v>51</v>
      </c>
      <c r="B116" s="36"/>
      <c r="C116" s="36"/>
      <c r="D116" s="36"/>
      <c r="E116" s="29" t="e">
        <f>$D:$D/$B:$B*100</f>
        <v>#DIV/0!</v>
      </c>
      <c r="F116" s="29" t="e">
        <f>$D:$D/$C:$C*100</f>
        <v>#DIV/0!</v>
      </c>
      <c r="G116" s="36"/>
      <c r="H116" s="29" t="e">
        <f>$D:$D/$G:$G*100</f>
        <v>#DIV/0!</v>
      </c>
      <c r="I116" s="36">
        <f t="shared" si="0"/>
        <v>0</v>
      </c>
    </row>
    <row r="117" spans="1:9" ht="12.75">
      <c r="A117" s="8" t="s">
        <v>52</v>
      </c>
      <c r="B117" s="36">
        <f>87342751.7/1000</f>
        <v>87342.75170000001</v>
      </c>
      <c r="C117" s="28">
        <v>1587</v>
      </c>
      <c r="D117" s="28">
        <v>1587</v>
      </c>
      <c r="E117" s="29">
        <f>$D:$D/$B:$B*100</f>
        <v>1.8169796223628707</v>
      </c>
      <c r="F117" s="29">
        <f>$D:$D/$C:$C*100</f>
        <v>100</v>
      </c>
      <c r="G117" s="36">
        <v>950</v>
      </c>
      <c r="H117" s="29">
        <v>0</v>
      </c>
      <c r="I117" s="36">
        <f t="shared" si="0"/>
        <v>1587</v>
      </c>
    </row>
    <row r="118" spans="1:9" ht="12.75">
      <c r="A118" s="8" t="s">
        <v>53</v>
      </c>
      <c r="B118" s="28">
        <f>84166253/1000</f>
        <v>84166.253</v>
      </c>
      <c r="C118" s="28">
        <v>409.13</v>
      </c>
      <c r="D118" s="28">
        <v>255.39</v>
      </c>
      <c r="E118" s="29">
        <f>$D:$D/$B:$B*100</f>
        <v>0.3034351547050574</v>
      </c>
      <c r="F118" s="29">
        <v>0</v>
      </c>
      <c r="G118" s="28">
        <v>267.3</v>
      </c>
      <c r="H118" s="29">
        <v>0</v>
      </c>
      <c r="I118" s="36">
        <f t="shared" si="0"/>
        <v>255.39</v>
      </c>
    </row>
    <row r="119" spans="1:9" ht="12.75">
      <c r="A119" s="8" t="s">
        <v>54</v>
      </c>
      <c r="B119" s="36">
        <f>2137000/1000</f>
        <v>2137</v>
      </c>
      <c r="C119" s="28">
        <v>200</v>
      </c>
      <c r="D119" s="28">
        <v>30</v>
      </c>
      <c r="E119" s="29">
        <f>$D:$D/$B:$B*100</f>
        <v>1.4038371548900328</v>
      </c>
      <c r="F119" s="29">
        <f>$D:$D/$C:$C*100</f>
        <v>15</v>
      </c>
      <c r="G119" s="36">
        <v>87.8</v>
      </c>
      <c r="H119" s="29">
        <f>$D:$D/$G:$G*100</f>
        <v>34.16856492027335</v>
      </c>
      <c r="I119" s="36">
        <f t="shared" si="0"/>
        <v>30</v>
      </c>
    </row>
    <row r="120" spans="1:9" ht="12.75">
      <c r="A120" s="11" t="s">
        <v>61</v>
      </c>
      <c r="B120" s="27">
        <f>B121+B122+B123</f>
        <v>210722.454</v>
      </c>
      <c r="C120" s="28">
        <f>C121+C122+C123</f>
        <v>4051.71</v>
      </c>
      <c r="D120" s="28">
        <f>D121+D122+D123</f>
        <v>3852.2200000000003</v>
      </c>
      <c r="E120" s="26">
        <f>$D:$D/$B:$B*100</f>
        <v>1.8281013375062538</v>
      </c>
      <c r="F120" s="26">
        <f>$D:$D/$C:$C*100</f>
        <v>95.07639984105477</v>
      </c>
      <c r="G120" s="27">
        <f>G121+G122+G123</f>
        <v>3804.5</v>
      </c>
      <c r="H120" s="26">
        <f>$D:$D/$G:$G*100</f>
        <v>101.25430411354974</v>
      </c>
      <c r="I120" s="36">
        <f t="shared" si="0"/>
        <v>3852.2200000000003</v>
      </c>
    </row>
    <row r="121" spans="1:9" ht="12.75">
      <c r="A121" s="41" t="s">
        <v>62</v>
      </c>
      <c r="B121" s="28">
        <f>99648015.86/1000</f>
        <v>99648.01586</v>
      </c>
      <c r="C121" s="28">
        <v>3680.44</v>
      </c>
      <c r="D121" s="28">
        <v>3680.44</v>
      </c>
      <c r="E121" s="29">
        <f>$D:$D/$B:$B*100</f>
        <v>3.693440324161413</v>
      </c>
      <c r="F121" s="29">
        <f>$D:$D/$C:$C*100</f>
        <v>100</v>
      </c>
      <c r="G121" s="28">
        <v>3423.6</v>
      </c>
      <c r="H121" s="29">
        <v>0</v>
      </c>
      <c r="I121" s="36">
        <f t="shared" si="0"/>
        <v>3680.44</v>
      </c>
    </row>
    <row r="122" spans="1:9" ht="24.75" customHeight="1">
      <c r="A122" s="12" t="s">
        <v>63</v>
      </c>
      <c r="B122" s="28">
        <f>106942468.14/1000</f>
        <v>106942.46814</v>
      </c>
      <c r="C122" s="28">
        <v>91</v>
      </c>
      <c r="D122" s="28">
        <v>91</v>
      </c>
      <c r="E122" s="29">
        <v>0</v>
      </c>
      <c r="F122" s="29">
        <v>0</v>
      </c>
      <c r="G122" s="28">
        <v>135</v>
      </c>
      <c r="H122" s="29">
        <v>0</v>
      </c>
      <c r="I122" s="36">
        <f t="shared" si="0"/>
        <v>91</v>
      </c>
    </row>
    <row r="123" spans="1:9" ht="25.5">
      <c r="A123" s="12" t="s">
        <v>73</v>
      </c>
      <c r="B123" s="28">
        <f>4131970/1000</f>
        <v>4131.97</v>
      </c>
      <c r="C123" s="28">
        <v>280.27</v>
      </c>
      <c r="D123" s="28">
        <v>80.78</v>
      </c>
      <c r="E123" s="29">
        <f>$D:$D/$B:$B*100</f>
        <v>1.9549996732793316</v>
      </c>
      <c r="F123" s="29">
        <f>$D:$D/$C:$C*100</f>
        <v>28.822207157383957</v>
      </c>
      <c r="G123" s="28">
        <v>245.9</v>
      </c>
      <c r="H123" s="29">
        <v>0</v>
      </c>
      <c r="I123" s="36">
        <f t="shared" si="0"/>
        <v>80.78</v>
      </c>
    </row>
    <row r="124" spans="1:9" ht="26.25" customHeight="1">
      <c r="A124" s="13" t="s">
        <v>80</v>
      </c>
      <c r="B124" s="27">
        <f>B125</f>
        <v>100</v>
      </c>
      <c r="C124" s="27">
        <f>C125</f>
        <v>0</v>
      </c>
      <c r="D124" s="27">
        <f>D125</f>
        <v>0</v>
      </c>
      <c r="E124" s="29">
        <f>$D:$D/$B:$B*100</f>
        <v>0</v>
      </c>
      <c r="F124" s="29">
        <v>0</v>
      </c>
      <c r="G124" s="27">
        <f>G125</f>
        <v>0</v>
      </c>
      <c r="H124" s="29">
        <v>0</v>
      </c>
      <c r="I124" s="36">
        <f t="shared" si="0"/>
        <v>0</v>
      </c>
    </row>
    <row r="125" spans="1:9" ht="13.5" customHeight="1">
      <c r="A125" s="12" t="s">
        <v>81</v>
      </c>
      <c r="B125" s="28">
        <v>100</v>
      </c>
      <c r="C125" s="28">
        <v>0</v>
      </c>
      <c r="D125" s="28">
        <v>0</v>
      </c>
      <c r="E125" s="29">
        <f>$D:$D/$B:$B*100</f>
        <v>0</v>
      </c>
      <c r="F125" s="29">
        <v>0</v>
      </c>
      <c r="G125" s="28">
        <v>0</v>
      </c>
      <c r="H125" s="29">
        <v>0</v>
      </c>
      <c r="I125" s="36">
        <f t="shared" si="0"/>
        <v>0</v>
      </c>
    </row>
    <row r="126" spans="1:9" ht="15.75" customHeight="1">
      <c r="A126" s="14" t="s">
        <v>55</v>
      </c>
      <c r="B126" s="35">
        <f>B78+B87+B88+B89+B95+B102+B109+B112+B114+B120+B124+B100</f>
        <v>3184127.3692900003</v>
      </c>
      <c r="C126" s="35">
        <f>C78+C87+C88+C89+C95+C102+C109+C112+C114+C120+C124+C100</f>
        <v>65115.930109999994</v>
      </c>
      <c r="D126" s="35">
        <f>D78+D87+D88+D89+D95+D102+D109+D112+D114+D120+D124+D100</f>
        <v>60157.77</v>
      </c>
      <c r="E126" s="26">
        <f>$D:$D/$B:$B*100</f>
        <v>1.8893016209151843</v>
      </c>
      <c r="F126" s="26">
        <f>$D:$D/$C:$C*100</f>
        <v>92.38564188267878</v>
      </c>
      <c r="G126" s="35">
        <f>G78+G87+G88+G89+G95+G102+G109+G112+G114+G120+G124+G100</f>
        <v>65352.6</v>
      </c>
      <c r="H126" s="26">
        <f>$D:$D/$G:$G*100</f>
        <v>92.05107371397618</v>
      </c>
      <c r="I126" s="35">
        <f>I78+I87+I88+I89+I95+I102+I109+I112+I114+I120+I124</f>
        <v>60189.369999999995</v>
      </c>
    </row>
    <row r="127" spans="1:9" ht="26.25" customHeight="1">
      <c r="A127" s="15" t="s">
        <v>56</v>
      </c>
      <c r="B127" s="30">
        <f>B72-B126</f>
        <v>-74025.13252000045</v>
      </c>
      <c r="C127" s="30">
        <f>C72-C126</f>
        <v>20062.262039999994</v>
      </c>
      <c r="D127" s="30">
        <f>D72-D126</f>
        <v>640.2067800000077</v>
      </c>
      <c r="E127" s="30"/>
      <c r="F127" s="30"/>
      <c r="G127" s="30">
        <f>G72-G126</f>
        <v>6867.360000000008</v>
      </c>
      <c r="H127" s="30"/>
      <c r="I127" s="30">
        <f>I72-I126</f>
        <v>12030.590000000011</v>
      </c>
    </row>
    <row r="128" spans="1:9" ht="24" customHeight="1">
      <c r="A128" s="1" t="s">
        <v>57</v>
      </c>
      <c r="B128" s="28" t="s">
        <v>165</v>
      </c>
      <c r="C128" s="28"/>
      <c r="D128" s="28" t="s">
        <v>153</v>
      </c>
      <c r="E128" s="28"/>
      <c r="F128" s="28"/>
      <c r="G128" s="28" t="s">
        <v>148</v>
      </c>
      <c r="H128" s="27"/>
      <c r="I128" s="28"/>
    </row>
    <row r="129" spans="1:9" ht="12.75">
      <c r="A129" s="3" t="s">
        <v>58</v>
      </c>
      <c r="B129" s="43">
        <f>B131+B132</f>
        <v>42871.7</v>
      </c>
      <c r="C129" s="43"/>
      <c r="D129" s="43">
        <f>D131+D132</f>
        <v>43511.9</v>
      </c>
      <c r="E129" s="28"/>
      <c r="F129" s="28"/>
      <c r="G129" s="27">
        <f>G131+G132</f>
        <v>29016</v>
      </c>
      <c r="H129" s="37"/>
      <c r="I129" s="27">
        <f>I131+I132</f>
        <v>43511.9</v>
      </c>
    </row>
    <row r="130" spans="1:9" ht="12" customHeight="1">
      <c r="A130" s="1" t="s">
        <v>6</v>
      </c>
      <c r="B130" s="44"/>
      <c r="C130" s="28"/>
      <c r="D130" s="44"/>
      <c r="E130" s="28"/>
      <c r="F130" s="28"/>
      <c r="G130" s="28"/>
      <c r="H130" s="37"/>
      <c r="I130" s="28"/>
    </row>
    <row r="131" spans="1:9" ht="12.75">
      <c r="A131" s="5" t="s">
        <v>59</v>
      </c>
      <c r="B131" s="44">
        <v>24892.3</v>
      </c>
      <c r="C131" s="28"/>
      <c r="D131" s="44">
        <v>814.3</v>
      </c>
      <c r="E131" s="28"/>
      <c r="F131" s="28"/>
      <c r="G131" s="28">
        <v>917</v>
      </c>
      <c r="H131" s="37"/>
      <c r="I131" s="28">
        <f>D131</f>
        <v>814.3</v>
      </c>
    </row>
    <row r="132" spans="1:9" ht="12.75">
      <c r="A132" s="1" t="s">
        <v>60</v>
      </c>
      <c r="B132" s="44">
        <v>17979.4</v>
      </c>
      <c r="C132" s="28"/>
      <c r="D132" s="44">
        <f>43511.9-814.3</f>
        <v>42697.6</v>
      </c>
      <c r="E132" s="28"/>
      <c r="F132" s="28"/>
      <c r="G132" s="28">
        <f>29016-G131</f>
        <v>28099</v>
      </c>
      <c r="H132" s="37"/>
      <c r="I132" s="28">
        <f>D132</f>
        <v>42697.6</v>
      </c>
    </row>
    <row r="133" spans="1:9" ht="12.75">
      <c r="A133" s="3" t="s">
        <v>99</v>
      </c>
      <c r="B133" s="43">
        <f>B134-B135</f>
        <v>64460</v>
      </c>
      <c r="C133" s="40"/>
      <c r="D133" s="43">
        <f>D134-D135</f>
        <v>0</v>
      </c>
      <c r="E133" s="40"/>
      <c r="F133" s="40"/>
      <c r="G133" s="40">
        <v>0</v>
      </c>
      <c r="H133" s="42"/>
      <c r="I133" s="40"/>
    </row>
    <row r="134" spans="1:9" ht="12.75">
      <c r="A134" s="2" t="s">
        <v>100</v>
      </c>
      <c r="B134" s="28">
        <v>98076.83</v>
      </c>
      <c r="C134" s="38"/>
      <c r="D134" s="44">
        <v>0</v>
      </c>
      <c r="E134" s="38"/>
      <c r="F134" s="38"/>
      <c r="G134" s="38">
        <v>0</v>
      </c>
      <c r="H134" s="39"/>
      <c r="I134" s="38">
        <v>0</v>
      </c>
    </row>
    <row r="135" spans="1:9" ht="12.75">
      <c r="A135" s="2" t="s">
        <v>101</v>
      </c>
      <c r="B135" s="28">
        <v>33616.83</v>
      </c>
      <c r="C135" s="38"/>
      <c r="D135" s="44">
        <v>0</v>
      </c>
      <c r="E135" s="38"/>
      <c r="F135" s="38"/>
      <c r="G135" s="38">
        <v>0</v>
      </c>
      <c r="H135" s="39"/>
      <c r="I135" s="38">
        <v>0</v>
      </c>
    </row>
    <row r="136" spans="1:9" ht="12.75">
      <c r="A136" s="16"/>
      <c r="B136" s="25"/>
      <c r="C136" s="25"/>
      <c r="D136" s="25"/>
      <c r="E136" s="25"/>
      <c r="F136" s="25"/>
      <c r="G136" s="25"/>
      <c r="H136" s="25"/>
      <c r="I136" s="25"/>
    </row>
    <row r="138" ht="12" customHeight="1">
      <c r="A138" s="22" t="s">
        <v>79</v>
      </c>
    </row>
    <row r="139" ht="12.75" customHeight="1" hidden="1"/>
    <row r="141" spans="1:9" ht="31.5">
      <c r="A141" s="17" t="s">
        <v>103</v>
      </c>
      <c r="B141" s="24"/>
      <c r="C141" s="24"/>
      <c r="D141" s="24" t="s">
        <v>137</v>
      </c>
      <c r="E141" s="24"/>
      <c r="F141" s="24"/>
      <c r="G141" s="24"/>
      <c r="H141" s="24"/>
      <c r="I141" s="25"/>
    </row>
  </sheetData>
  <sheetProtection/>
  <mergeCells count="5">
    <mergeCell ref="A77:I77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0"/>
  <sheetViews>
    <sheetView zoomScalePageLayoutView="0" workbookViewId="0" topLeftCell="A1">
      <pane xSplit="1" ySplit="6" topLeftCell="B1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29" sqref="I129"/>
    </sheetView>
  </sheetViews>
  <sheetFormatPr defaultColWidth="9.00390625" defaultRowHeight="12.75"/>
  <cols>
    <col min="1" max="1" width="44.875" style="22" customWidth="1"/>
    <col min="2" max="2" width="14.875" style="23" customWidth="1"/>
    <col min="3" max="3" width="13.125" style="23" customWidth="1"/>
    <col min="4" max="4" width="13.375" style="23" customWidth="1"/>
    <col min="5" max="5" width="12.75390625" style="23" customWidth="1"/>
    <col min="6" max="6" width="14.125" style="23" hidden="1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9" t="s">
        <v>102</v>
      </c>
      <c r="B1" s="89"/>
      <c r="C1" s="89"/>
      <c r="D1" s="89"/>
      <c r="E1" s="89"/>
      <c r="F1" s="89"/>
      <c r="G1" s="89"/>
      <c r="H1" s="89"/>
      <c r="I1" s="31"/>
    </row>
    <row r="2" spans="1:9" ht="15">
      <c r="A2" s="90" t="s">
        <v>155</v>
      </c>
      <c r="B2" s="90"/>
      <c r="C2" s="90"/>
      <c r="D2" s="90"/>
      <c r="E2" s="90"/>
      <c r="F2" s="90"/>
      <c r="G2" s="90"/>
      <c r="H2" s="90"/>
      <c r="I2" s="32"/>
    </row>
    <row r="3" spans="1:9" ht="5.25" customHeight="1" hidden="1">
      <c r="A3" s="91" t="s">
        <v>0</v>
      </c>
      <c r="B3" s="91"/>
      <c r="C3" s="91"/>
      <c r="D3" s="91"/>
      <c r="E3" s="91"/>
      <c r="F3" s="91"/>
      <c r="G3" s="91"/>
      <c r="H3" s="91"/>
      <c r="I3" s="33"/>
    </row>
    <row r="4" spans="1:9" ht="45" customHeight="1">
      <c r="A4" s="4" t="s">
        <v>1</v>
      </c>
      <c r="B4" s="18" t="s">
        <v>2</v>
      </c>
      <c r="C4" s="18" t="s">
        <v>154</v>
      </c>
      <c r="D4" s="18" t="s">
        <v>68</v>
      </c>
      <c r="E4" s="18" t="s">
        <v>66</v>
      </c>
      <c r="F4" s="18" t="s">
        <v>69</v>
      </c>
      <c r="G4" s="18" t="s">
        <v>152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2" t="s">
        <v>3</v>
      </c>
      <c r="B6" s="93"/>
      <c r="C6" s="93"/>
      <c r="D6" s="93"/>
      <c r="E6" s="93"/>
      <c r="F6" s="93"/>
      <c r="G6" s="93"/>
      <c r="H6" s="93"/>
      <c r="I6" s="94"/>
    </row>
    <row r="7" spans="1:9" ht="12.75">
      <c r="A7" s="51" t="s">
        <v>104</v>
      </c>
      <c r="B7" s="35">
        <f>B8+B16+B21+B26+B29+B36+B45+B46+B47+B51+B62</f>
        <v>673452.6</v>
      </c>
      <c r="C7" s="35">
        <f>C8+C16+C21+C26+C29+C36+C45+C46+C47+C51+C62</f>
        <v>77902.98813</v>
      </c>
      <c r="D7" s="35">
        <f>D8+D16+D21+D26+D29+D36+D45+D46+D47+D51+D62</f>
        <v>113472.67648000001</v>
      </c>
      <c r="E7" s="26">
        <f>$D:$D/$B:$B*100</f>
        <v>16.84939318372221</v>
      </c>
      <c r="F7" s="26">
        <v>27699.089999999997</v>
      </c>
      <c r="G7" s="35">
        <v>61965.03999999999</v>
      </c>
      <c r="H7" s="26">
        <v>96.62342697900908</v>
      </c>
      <c r="I7" s="35">
        <f>D7-Январь!D7</f>
        <v>79102.78617</v>
      </c>
    </row>
    <row r="8" spans="1:9" ht="12.75">
      <c r="A8" s="52" t="s">
        <v>4</v>
      </c>
      <c r="B8" s="26">
        <f>B9+B10</f>
        <v>340235.9</v>
      </c>
      <c r="C8" s="26">
        <f>C9+C10</f>
        <v>45580</v>
      </c>
      <c r="D8" s="26">
        <f>D9+D10</f>
        <v>85202.22787</v>
      </c>
      <c r="E8" s="26">
        <f>$D:$D/$B:$B*100</f>
        <v>25.042103984323816</v>
      </c>
      <c r="F8" s="26">
        <v>10645.39</v>
      </c>
      <c r="G8" s="26">
        <v>34973.11</v>
      </c>
      <c r="H8" s="26">
        <v>97.3363117743925</v>
      </c>
      <c r="I8" s="35">
        <f>D8-Январь!D8</f>
        <v>68283.67685</v>
      </c>
    </row>
    <row r="9" spans="1:9" ht="25.5">
      <c r="A9" s="53" t="s">
        <v>5</v>
      </c>
      <c r="B9" s="27">
        <f>8446300/1000</f>
        <v>8446.3</v>
      </c>
      <c r="C9" s="27">
        <f>800000/1000</f>
        <v>800</v>
      </c>
      <c r="D9" s="27">
        <f>808199/1000</f>
        <v>808.199</v>
      </c>
      <c r="E9" s="26">
        <f>$D:$D/$B:$B*100</f>
        <v>9.568675041142276</v>
      </c>
      <c r="F9" s="26">
        <v>200.86</v>
      </c>
      <c r="G9" s="27">
        <v>776.89</v>
      </c>
      <c r="H9" s="26">
        <v>232.3508911679777</v>
      </c>
      <c r="I9" s="35">
        <f>D9-Январь!D9</f>
        <v>301.66225</v>
      </c>
    </row>
    <row r="10" spans="1:9" ht="12.75" customHeight="1">
      <c r="A10" s="54" t="s">
        <v>70</v>
      </c>
      <c r="B10" s="46">
        <f>SUM(B11:B15)</f>
        <v>331789.60000000003</v>
      </c>
      <c r="C10" s="46">
        <f>SUM(C11:C15)</f>
        <v>44780</v>
      </c>
      <c r="D10" s="46">
        <f>SUM(D11:D15)</f>
        <v>84394.02887000001</v>
      </c>
      <c r="E10" s="26">
        <f>$D:$D/$B:$B*100</f>
        <v>25.43600790079014</v>
      </c>
      <c r="F10" s="26">
        <v>10444.529999999999</v>
      </c>
      <c r="G10" s="35">
        <v>34196.22</v>
      </c>
      <c r="H10" s="47">
        <v>94.7398303226665</v>
      </c>
      <c r="I10" s="35">
        <f>D10-Январь!D10</f>
        <v>67982.01460000001</v>
      </c>
    </row>
    <row r="11" spans="1:9" ht="51">
      <c r="A11" s="56" t="s">
        <v>74</v>
      </c>
      <c r="B11" s="28">
        <f>316825700/1000</f>
        <v>316825.7</v>
      </c>
      <c r="C11" s="28">
        <f>41942700/1000</f>
        <v>41942.7</v>
      </c>
      <c r="D11" s="28">
        <f>37124859.91/1000</f>
        <v>37124.85991</v>
      </c>
      <c r="E11" s="26">
        <f>$D:$D/$B:$B*100</f>
        <v>11.717755191576945</v>
      </c>
      <c r="F11" s="26">
        <v>10058</v>
      </c>
      <c r="G11" s="28">
        <v>33806.99</v>
      </c>
      <c r="H11" s="26">
        <v>96.26963611055875</v>
      </c>
      <c r="I11" s="28">
        <f>D11-Январь!D11</f>
        <v>26295.53241</v>
      </c>
    </row>
    <row r="12" spans="1:9" ht="94.5" customHeight="1">
      <c r="A12" s="56" t="s">
        <v>75</v>
      </c>
      <c r="B12" s="28">
        <f>6481500/1000</f>
        <v>6481.5</v>
      </c>
      <c r="C12" s="28">
        <f>101100/1000</f>
        <v>101.1</v>
      </c>
      <c r="D12" s="28">
        <f>79603.52/1000</f>
        <v>79.60352</v>
      </c>
      <c r="E12" s="26">
        <f>$D:$D/$B:$B*100</f>
        <v>1.2281650852426136</v>
      </c>
      <c r="F12" s="26">
        <v>81.56</v>
      </c>
      <c r="G12" s="28">
        <v>74.97</v>
      </c>
      <c r="H12" s="26">
        <v>54.54879843060324</v>
      </c>
      <c r="I12" s="28">
        <f>D12-Январь!D12</f>
        <v>8.470690000000005</v>
      </c>
    </row>
    <row r="13" spans="1:9" ht="25.5">
      <c r="A13" s="56" t="s">
        <v>76</v>
      </c>
      <c r="B13" s="28">
        <f>3576400/1000</f>
        <v>3576.4</v>
      </c>
      <c r="C13" s="28">
        <f>107000/1000</f>
        <v>107</v>
      </c>
      <c r="D13" s="28">
        <f>500928.01/1000</f>
        <v>500.92801000000003</v>
      </c>
      <c r="E13" s="26">
        <f>$D:$D/$B:$B*100</f>
        <v>14.00648724974835</v>
      </c>
      <c r="F13" s="26">
        <v>117.15</v>
      </c>
      <c r="G13" s="28">
        <v>89.97</v>
      </c>
      <c r="H13" s="26">
        <v>38.01109688433632</v>
      </c>
      <c r="I13" s="28">
        <f>D13-Январь!D13</f>
        <v>438.9218</v>
      </c>
    </row>
    <row r="14" spans="1:9" ht="63.75">
      <c r="A14" s="56" t="s">
        <v>78</v>
      </c>
      <c r="B14" s="28">
        <f>2580100/1000</f>
        <v>2580.1</v>
      </c>
      <c r="C14" s="28">
        <f>303300/1000</f>
        <v>303.3</v>
      </c>
      <c r="D14" s="28">
        <f>441655.35/1000</f>
        <v>441.65535</v>
      </c>
      <c r="E14" s="26">
        <f>$D:$D/$B:$B*100</f>
        <v>17.11776093949847</v>
      </c>
      <c r="F14" s="26">
        <v>187.82</v>
      </c>
      <c r="G14" s="28">
        <v>224.29</v>
      </c>
      <c r="H14" s="26">
        <v>64.24235970610158</v>
      </c>
      <c r="I14" s="28">
        <f>D14-Январь!D14</f>
        <v>238.26749999999998</v>
      </c>
    </row>
    <row r="15" spans="1:9" ht="37.5" customHeight="1">
      <c r="A15" s="56" t="s">
        <v>145</v>
      </c>
      <c r="B15" s="36">
        <f>2325900/1000</f>
        <v>2325.9</v>
      </c>
      <c r="C15" s="36">
        <f>2325900/1000</f>
        <v>2325.9</v>
      </c>
      <c r="D15" s="36">
        <f>46246982.08/1000</f>
        <v>46246.98208</v>
      </c>
      <c r="E15" s="26">
        <f>$D:$D/$B:$B*100</f>
        <v>1988.3478257878671</v>
      </c>
      <c r="F15" s="26"/>
      <c r="G15" s="35">
        <v>0</v>
      </c>
      <c r="H15" s="26">
        <v>0</v>
      </c>
      <c r="I15" s="28">
        <f>D15-Январь!D15</f>
        <v>41000.8222</v>
      </c>
    </row>
    <row r="16" spans="1:9" ht="39.75" customHeight="1">
      <c r="A16" s="58" t="s">
        <v>82</v>
      </c>
      <c r="B16" s="27">
        <f>SUM(B17:B20)</f>
        <v>55588.03</v>
      </c>
      <c r="C16" s="27">
        <f>SUM(C17:C20)</f>
        <v>8274.77</v>
      </c>
      <c r="D16" s="27">
        <f>SUM(D17:D20)</f>
        <v>5206.58843</v>
      </c>
      <c r="E16" s="26">
        <f>$D:$D/$B:$B*100</f>
        <v>9.366384147810239</v>
      </c>
      <c r="F16" s="26">
        <v>1853.18</v>
      </c>
      <c r="G16" s="28">
        <v>1859.56</v>
      </c>
      <c r="H16" s="26">
        <v>99.62874626318005</v>
      </c>
      <c r="I16" s="28">
        <f>D16-Январь!D16</f>
        <v>0</v>
      </c>
    </row>
    <row r="17" spans="1:9" ht="37.5" customHeight="1">
      <c r="A17" s="39" t="s">
        <v>83</v>
      </c>
      <c r="B17" s="84">
        <f>25133060/1000</f>
        <v>25133.06</v>
      </c>
      <c r="C17" s="84">
        <f>3697320/1000</f>
        <v>3697.32</v>
      </c>
      <c r="D17" s="84">
        <f>2436350.68/1000</f>
        <v>2436.35068</v>
      </c>
      <c r="E17" s="26">
        <f>$D:$D/$B:$B*100</f>
        <v>9.693808394202694</v>
      </c>
      <c r="F17" s="26">
        <v>844.23</v>
      </c>
      <c r="G17" s="28">
        <v>873.24</v>
      </c>
      <c r="H17" s="26">
        <v>100.44656077135376</v>
      </c>
      <c r="I17" s="28">
        <f>D17-Январь!D17</f>
        <v>44.18224000000009</v>
      </c>
    </row>
    <row r="18" spans="1:9" ht="56.25" customHeight="1">
      <c r="A18" s="39" t="s">
        <v>84</v>
      </c>
      <c r="B18" s="84">
        <f>139120/1000</f>
        <v>139.12</v>
      </c>
      <c r="C18" s="84">
        <f>22080/1000</f>
        <v>22.08</v>
      </c>
      <c r="D18" s="84">
        <f>16702.33/1000</f>
        <v>16.702330000000003</v>
      </c>
      <c r="E18" s="26">
        <f>$D:$D/$B:$B*100</f>
        <v>12.005700115008628</v>
      </c>
      <c r="F18" s="26">
        <v>5.74</v>
      </c>
      <c r="G18" s="28">
        <v>5.61</v>
      </c>
      <c r="H18" s="26">
        <v>87.10801393728222</v>
      </c>
      <c r="I18" s="28">
        <f>D18-Январь!D18</f>
        <v>2.6245300000000036</v>
      </c>
    </row>
    <row r="19" spans="1:9" ht="55.5" customHeight="1">
      <c r="A19" s="39" t="s">
        <v>85</v>
      </c>
      <c r="B19" s="84">
        <f>33467400/1000</f>
        <v>33467.4</v>
      </c>
      <c r="C19" s="84">
        <f>5126760/1000</f>
        <v>5126.76</v>
      </c>
      <c r="D19" s="84">
        <f>3003964.93/1000</f>
        <v>3003.96493</v>
      </c>
      <c r="E19" s="26">
        <f>$D:$D/$B:$B*100</f>
        <v>8.97579414594501</v>
      </c>
      <c r="F19" s="26">
        <v>1158.41</v>
      </c>
      <c r="G19" s="28">
        <v>1157.81</v>
      </c>
      <c r="H19" s="26">
        <v>98.22170043421585</v>
      </c>
      <c r="I19" s="28">
        <f>D19-Январь!D19</f>
        <v>44.24974999999995</v>
      </c>
    </row>
    <row r="20" spans="1:9" ht="15.75" customHeight="1">
      <c r="A20" s="39" t="s">
        <v>86</v>
      </c>
      <c r="B20" s="84">
        <f>-3151550/1000</f>
        <v>-3151.55</v>
      </c>
      <c r="C20" s="84">
        <f>-571390/1000</f>
        <v>-571.39</v>
      </c>
      <c r="D20" s="84">
        <f>-250429.51/1000</f>
        <v>-250.42951000000002</v>
      </c>
      <c r="E20" s="26">
        <f>$D:$D/$B:$B*100</f>
        <v>7.946233123383732</v>
      </c>
      <c r="F20" s="26">
        <v>-155.2</v>
      </c>
      <c r="G20" s="35">
        <v>-177.1</v>
      </c>
      <c r="H20" s="26">
        <v>93.11211340206185</v>
      </c>
      <c r="I20" s="28">
        <f>D20-Январь!D20</f>
        <v>-91.05652000000003</v>
      </c>
    </row>
    <row r="21" spans="1:9" ht="12.75">
      <c r="A21" s="59" t="s">
        <v>7</v>
      </c>
      <c r="B21" s="27">
        <f>SUM(B22:B25)</f>
        <v>134216.5</v>
      </c>
      <c r="C21" s="27">
        <f>SUM(C22:C25)</f>
        <v>9950</v>
      </c>
      <c r="D21" s="27">
        <f>SUM(D22:D25)</f>
        <v>10525.309529999999</v>
      </c>
      <c r="E21" s="26">
        <f>$D:$D/$B:$B*100</f>
        <v>7.842038445347628</v>
      </c>
      <c r="F21" s="26">
        <v>7362.96</v>
      </c>
      <c r="G21" s="28">
        <v>13248.57</v>
      </c>
      <c r="H21" s="26">
        <v>121.96888208003303</v>
      </c>
      <c r="I21" s="28">
        <f>D21-Январь!D21</f>
        <v>4540.458009999997</v>
      </c>
    </row>
    <row r="22" spans="1:9" ht="28.5" customHeight="1">
      <c r="A22" s="56" t="s">
        <v>146</v>
      </c>
      <c r="B22" s="28">
        <f>110640700/1000</f>
        <v>110640.7</v>
      </c>
      <c r="C22" s="28">
        <f>8450000/1000</f>
        <v>8450</v>
      </c>
      <c r="D22" s="28">
        <f>8112754.85/1000</f>
        <v>8112.754849999999</v>
      </c>
      <c r="E22" s="26">
        <f>$D:$D/$B:$B*100</f>
        <v>7.332523067912621</v>
      </c>
      <c r="F22" s="26"/>
      <c r="G22" s="28">
        <v>6204.66</v>
      </c>
      <c r="H22" s="26">
        <v>0</v>
      </c>
      <c r="I22" s="28">
        <f>D22-Январь!D22</f>
        <v>3477.7038699999985</v>
      </c>
    </row>
    <row r="23" spans="1:9" ht="19.5" customHeight="1">
      <c r="A23" s="56" t="s">
        <v>89</v>
      </c>
      <c r="B23" s="28">
        <v>0</v>
      </c>
      <c r="C23" s="28">
        <v>0</v>
      </c>
      <c r="D23" s="28">
        <f>-7773.7/1000</f>
        <v>-7.7737</v>
      </c>
      <c r="E23" s="26" t="e">
        <f>$D:$D/$B:$B*100</f>
        <v>#DIV/0!</v>
      </c>
      <c r="F23" s="26">
        <v>7198.75</v>
      </c>
      <c r="G23" s="28">
        <v>6171.05</v>
      </c>
      <c r="H23" s="26">
        <v>76.55204028477166</v>
      </c>
      <c r="I23" s="28">
        <f>D23-Январь!D23</f>
        <v>-43.64063</v>
      </c>
    </row>
    <row r="24" spans="1:9" ht="15" customHeight="1">
      <c r="A24" s="56" t="s">
        <v>87</v>
      </c>
      <c r="B24" s="36">
        <f>1245000/1000</f>
        <v>1245</v>
      </c>
      <c r="C24" s="36">
        <v>0</v>
      </c>
      <c r="D24" s="36">
        <f>127712/1000</f>
        <v>127.712</v>
      </c>
      <c r="E24" s="26">
        <f>$D:$D/$B:$B*100</f>
        <v>10.257991967871487</v>
      </c>
      <c r="F24" s="26">
        <v>113.58</v>
      </c>
      <c r="G24" s="35">
        <v>259.92</v>
      </c>
      <c r="H24" s="26">
        <v>228.84310618066564</v>
      </c>
      <c r="I24" s="28">
        <f>D24-Январь!D24</f>
        <v>0.19200000000000728</v>
      </c>
    </row>
    <row r="25" spans="1:9" ht="27" customHeight="1">
      <c r="A25" s="56" t="s">
        <v>88</v>
      </c>
      <c r="B25" s="28">
        <f>22330800/1000</f>
        <v>22330.8</v>
      </c>
      <c r="C25" s="28">
        <f>1500000/1000</f>
        <v>1500</v>
      </c>
      <c r="D25" s="28">
        <f>2292616.38/1000</f>
        <v>2292.61638</v>
      </c>
      <c r="E25" s="26">
        <f>$D:$D/$B:$B*100</f>
        <v>10.266611048417433</v>
      </c>
      <c r="F25" s="26">
        <v>50.63</v>
      </c>
      <c r="G25" s="28">
        <v>612.94</v>
      </c>
      <c r="H25" s="26">
        <v>436.61860556982026</v>
      </c>
      <c r="I25" s="28">
        <f>D25-Январь!D25</f>
        <v>1106.2027699999999</v>
      </c>
    </row>
    <row r="26" spans="1:9" ht="12.75">
      <c r="A26" s="59" t="s">
        <v>8</v>
      </c>
      <c r="B26" s="27">
        <f>SUM(B27:B28)</f>
        <v>42549</v>
      </c>
      <c r="C26" s="27">
        <f>SUM(C27:C28)</f>
        <v>2650</v>
      </c>
      <c r="D26" s="27">
        <f>SUM(D27:D28)</f>
        <v>2881.40521</v>
      </c>
      <c r="E26" s="26">
        <f>$D:$D/$B:$B*100</f>
        <v>6.771969282474323</v>
      </c>
      <c r="F26" s="26">
        <v>2465.82</v>
      </c>
      <c r="G26" s="28">
        <v>2591.2599999999998</v>
      </c>
      <c r="H26" s="26">
        <v>52.357025249207155</v>
      </c>
      <c r="I26" s="28">
        <f>D26-Январь!D26</f>
        <v>1476.57951</v>
      </c>
    </row>
    <row r="27" spans="1:9" ht="12.75">
      <c r="A27" s="56" t="s">
        <v>106</v>
      </c>
      <c r="B27" s="36">
        <f>25216900/1000</f>
        <v>25216.9</v>
      </c>
      <c r="C27" s="36">
        <f>1020000/1000</f>
        <v>1020</v>
      </c>
      <c r="D27" s="36">
        <f>1398426.49/1000</f>
        <v>1398.42649</v>
      </c>
      <c r="E27" s="26">
        <f>$D:$D/$B:$B*100</f>
        <v>5.545592400334696</v>
      </c>
      <c r="F27" s="26">
        <v>536.1</v>
      </c>
      <c r="G27" s="35">
        <v>839.39</v>
      </c>
      <c r="H27" s="26">
        <v>103.20835664987875</v>
      </c>
      <c r="I27" s="28">
        <f>D27-Январь!D27</f>
        <v>621.13148</v>
      </c>
    </row>
    <row r="28" spans="1:9" ht="12.75">
      <c r="A28" s="56" t="s">
        <v>107</v>
      </c>
      <c r="B28" s="28">
        <f>17332100/1000</f>
        <v>17332.1</v>
      </c>
      <c r="C28" s="28">
        <f>1630000/1000</f>
        <v>1630</v>
      </c>
      <c r="D28" s="28">
        <f>1482978.72/1000</f>
        <v>1482.97872</v>
      </c>
      <c r="E28" s="26">
        <f>$D:$D/$B:$B*100</f>
        <v>8.55625527200974</v>
      </c>
      <c r="F28" s="26">
        <v>1929.72</v>
      </c>
      <c r="G28" s="28">
        <v>1751.87</v>
      </c>
      <c r="H28" s="26">
        <v>38.22989863814439</v>
      </c>
      <c r="I28" s="28">
        <f>D28-Январь!D28</f>
        <v>855.4480300000001</v>
      </c>
    </row>
    <row r="29" spans="1:9" ht="12.75">
      <c r="A29" s="52" t="s">
        <v>9</v>
      </c>
      <c r="B29" s="28">
        <f>SUM(B30:B32)</f>
        <v>16105.5</v>
      </c>
      <c r="C29" s="28">
        <f>SUM(C30:C32)</f>
        <v>2309.6</v>
      </c>
      <c r="D29" s="28">
        <f>SUM(D30:D32)</f>
        <v>2129.66232</v>
      </c>
      <c r="E29" s="26">
        <f>$D:$D/$B:$B*100</f>
        <v>13.223199031386793</v>
      </c>
      <c r="F29" s="26">
        <v>793.07</v>
      </c>
      <c r="G29" s="28">
        <v>2042.6499999999999</v>
      </c>
      <c r="H29" s="26">
        <v>87.45129685904145</v>
      </c>
      <c r="I29" s="28">
        <f>D29-Январь!D29</f>
        <v>1103.1370699999998</v>
      </c>
    </row>
    <row r="30" spans="1:9" ht="25.5">
      <c r="A30" s="56" t="s">
        <v>10</v>
      </c>
      <c r="B30" s="28">
        <f>15988300/1000</f>
        <v>15988.3</v>
      </c>
      <c r="C30" s="28">
        <f>2300000/1000</f>
        <v>2300</v>
      </c>
      <c r="D30" s="28">
        <f>2108262.32/1000</f>
        <v>2108.26232</v>
      </c>
      <c r="E30" s="26">
        <f>$D:$D/$B:$B*100</f>
        <v>13.186281968689602</v>
      </c>
      <c r="F30" s="26">
        <v>793.07</v>
      </c>
      <c r="G30" s="28">
        <v>2026.05</v>
      </c>
      <c r="H30" s="26">
        <v>87.24954922011928</v>
      </c>
      <c r="I30" s="28">
        <f>D30-Январь!D30</f>
        <v>1093.3370699999998</v>
      </c>
    </row>
    <row r="31" spans="1:9" ht="25.5">
      <c r="A31" s="56" t="s">
        <v>91</v>
      </c>
      <c r="B31" s="80">
        <f>67200/1000</f>
        <v>67.2</v>
      </c>
      <c r="C31" s="80">
        <f>9600/1000</f>
        <v>9.6</v>
      </c>
      <c r="D31" s="80">
        <f>6400/1000</f>
        <v>6.4</v>
      </c>
      <c r="E31" s="26">
        <f>$D:$D/$B:$B*100</f>
        <v>9.523809523809524</v>
      </c>
      <c r="F31" s="26">
        <v>0</v>
      </c>
      <c r="G31" s="35">
        <v>1.6</v>
      </c>
      <c r="H31" s="26" t="s">
        <v>111</v>
      </c>
      <c r="I31" s="28">
        <f>D31-Январь!D31</f>
        <v>4.800000000000001</v>
      </c>
    </row>
    <row r="32" spans="1:9" ht="25.5">
      <c r="A32" s="56" t="s">
        <v>90</v>
      </c>
      <c r="B32" s="80">
        <f>50000/1000</f>
        <v>50</v>
      </c>
      <c r="C32" s="80">
        <v>0</v>
      </c>
      <c r="D32" s="80">
        <f>15000/1000</f>
        <v>15</v>
      </c>
      <c r="E32" s="26">
        <f>$D:$D/$B:$B*100</f>
        <v>30</v>
      </c>
      <c r="F32" s="26">
        <v>0</v>
      </c>
      <c r="G32" s="28">
        <v>15</v>
      </c>
      <c r="H32" s="26" t="s">
        <v>111</v>
      </c>
      <c r="I32" s="28">
        <f>D32-Январь!D32</f>
        <v>5</v>
      </c>
    </row>
    <row r="33" spans="1:9" ht="25.5" hidden="1">
      <c r="A33" s="59" t="s">
        <v>11</v>
      </c>
      <c r="B33" s="28">
        <v>0</v>
      </c>
      <c r="C33" s="28">
        <v>0</v>
      </c>
      <c r="D33" s="28">
        <v>0.02</v>
      </c>
      <c r="E33" s="26" t="e">
        <f>$D:$D/$B:$B*100</f>
        <v>#DIV/0!</v>
      </c>
      <c r="F33" s="26">
        <v>0</v>
      </c>
      <c r="G33" s="28">
        <v>0.02</v>
      </c>
      <c r="H33" s="26" t="s">
        <v>111</v>
      </c>
      <c r="I33" s="28">
        <f>D33-Январь!D33</f>
        <v>0</v>
      </c>
    </row>
    <row r="34" spans="1:9" ht="25.5" hidden="1">
      <c r="A34" s="56" t="s">
        <v>116</v>
      </c>
      <c r="B34" s="35">
        <v>0</v>
      </c>
      <c r="C34" s="35">
        <v>0</v>
      </c>
      <c r="D34" s="35">
        <v>0.02</v>
      </c>
      <c r="E34" s="26" t="e">
        <f>$D:$D/$B:$B*100</f>
        <v>#DIV/0!</v>
      </c>
      <c r="F34" s="26">
        <v>0</v>
      </c>
      <c r="G34" s="35">
        <v>0</v>
      </c>
      <c r="H34" s="26" t="s">
        <v>111</v>
      </c>
      <c r="I34" s="28">
        <f>D34-Январь!D34</f>
        <v>0</v>
      </c>
    </row>
    <row r="35" spans="1:9" ht="25.5" hidden="1">
      <c r="A35" s="56" t="s">
        <v>92</v>
      </c>
      <c r="B35" s="28">
        <v>0</v>
      </c>
      <c r="C35" s="28">
        <v>0</v>
      </c>
      <c r="D35" s="28">
        <v>0</v>
      </c>
      <c r="E35" s="26" t="e">
        <f>$D:$D/$B:$B*100</f>
        <v>#DIV/0!</v>
      </c>
      <c r="F35" s="26">
        <v>0</v>
      </c>
      <c r="G35" s="28">
        <v>0.02</v>
      </c>
      <c r="H35" s="26" t="s">
        <v>111</v>
      </c>
      <c r="I35" s="28">
        <f>D35-Январь!D35</f>
        <v>0</v>
      </c>
    </row>
    <row r="36" spans="1:9" ht="39.75" customHeight="1">
      <c r="A36" s="59" t="s">
        <v>12</v>
      </c>
      <c r="B36" s="28">
        <f>SUM(B38:B44)</f>
        <v>73550.48000000001</v>
      </c>
      <c r="C36" s="28">
        <f>SUM(C38:C44)</f>
        <v>8207.43569</v>
      </c>
      <c r="D36" s="28">
        <f>SUM(D38:D44)</f>
        <v>6330.984380000001</v>
      </c>
      <c r="E36" s="26">
        <f>$D:$D/$B:$B*100</f>
        <v>8.607672417637518</v>
      </c>
      <c r="F36" s="26">
        <v>3247.05</v>
      </c>
      <c r="G36" s="28">
        <v>6315.38</v>
      </c>
      <c r="H36" s="26">
        <v>91.78269506167136</v>
      </c>
      <c r="I36" s="28">
        <f>D36-Январь!D36</f>
        <v>2999.7060300000007</v>
      </c>
    </row>
    <row r="37" spans="1:9" ht="81.75" customHeight="1" hidden="1">
      <c r="A37" s="56" t="s">
        <v>114</v>
      </c>
      <c r="B37" s="28"/>
      <c r="C37" s="28"/>
      <c r="D37" s="28"/>
      <c r="E37" s="26" t="e">
        <f>$D:$D/$B:$B*100</f>
        <v>#DIV/0!</v>
      </c>
      <c r="F37" s="26"/>
      <c r="G37" s="28"/>
      <c r="H37" s="26" t="e">
        <v>#DIV/0!</v>
      </c>
      <c r="I37" s="28">
        <f>D37-Январь!D37</f>
        <v>0</v>
      </c>
    </row>
    <row r="38" spans="1:9" ht="76.5">
      <c r="A38" s="56" t="s">
        <v>117</v>
      </c>
      <c r="B38" s="28">
        <f>37670900/1000</f>
        <v>37670.9</v>
      </c>
      <c r="C38" s="28">
        <f>3500000/1000</f>
        <v>3500</v>
      </c>
      <c r="D38" s="28">
        <f>3718539.95/1000</f>
        <v>3718.5399500000003</v>
      </c>
      <c r="E38" s="26">
        <f>$D:$D/$B:$B*100</f>
        <v>9.87112054662883</v>
      </c>
      <c r="F38" s="26">
        <v>2393.3</v>
      </c>
      <c r="G38" s="28">
        <v>3538.1000000000004</v>
      </c>
      <c r="H38" s="26">
        <v>97.4570676471817</v>
      </c>
      <c r="I38" s="28">
        <f>D38-Январь!D38</f>
        <v>1856.8023000000005</v>
      </c>
    </row>
    <row r="39" spans="1:9" ht="76.5">
      <c r="A39" s="56" t="s">
        <v>125</v>
      </c>
      <c r="B39" s="83">
        <f>7265030/1000</f>
        <v>7265.03</v>
      </c>
      <c r="C39" s="83">
        <f>472480.37/1000</f>
        <v>472.48037</v>
      </c>
      <c r="D39" s="84">
        <f>160912.85/1000</f>
        <v>160.91285</v>
      </c>
      <c r="E39" s="26">
        <f>$D:$D/$B:$B*100</f>
        <v>2.2148958779247985</v>
      </c>
      <c r="F39" s="26">
        <v>75.44</v>
      </c>
      <c r="G39" s="28">
        <v>14.79</v>
      </c>
      <c r="H39" s="26" t="s">
        <v>111</v>
      </c>
      <c r="I39" s="28">
        <f>D39-Январь!D39</f>
        <v>0</v>
      </c>
    </row>
    <row r="40" spans="1:9" ht="76.5">
      <c r="A40" s="56" t="s">
        <v>118</v>
      </c>
      <c r="B40" s="83">
        <f>427990/1000</f>
        <v>427.99</v>
      </c>
      <c r="C40" s="83">
        <f>67855/1000</f>
        <v>67.855</v>
      </c>
      <c r="D40" s="84">
        <f>21435.03/1000</f>
        <v>21.435029999999998</v>
      </c>
      <c r="E40" s="26">
        <f>$D:$D/$B:$B*100</f>
        <v>5.008301595831678</v>
      </c>
      <c r="F40" s="26">
        <v>3.43</v>
      </c>
      <c r="G40" s="28">
        <v>34.31</v>
      </c>
      <c r="H40" s="26">
        <v>528.2798833819242</v>
      </c>
      <c r="I40" s="28">
        <f>D40-Январь!D40</f>
        <v>17.930899999999998</v>
      </c>
    </row>
    <row r="41" spans="1:9" ht="38.25">
      <c r="A41" s="56" t="s">
        <v>119</v>
      </c>
      <c r="B41" s="83">
        <f>21306530/1000</f>
        <v>21306.53</v>
      </c>
      <c r="C41" s="83">
        <f>2141896.32/1000</f>
        <v>2141.89632</v>
      </c>
      <c r="D41" s="84">
        <f>2244219.42/1000</f>
        <v>2244.21942</v>
      </c>
      <c r="E41" s="26">
        <f>$D:$D/$B:$B*100</f>
        <v>10.533012273702006</v>
      </c>
      <c r="F41" s="26">
        <v>538.73</v>
      </c>
      <c r="G41" s="28">
        <v>1858.72</v>
      </c>
      <c r="H41" s="26">
        <v>72.6653425649212</v>
      </c>
      <c r="I41" s="28">
        <f>D41-Январь!D41</f>
        <v>1027.6395799999998</v>
      </c>
    </row>
    <row r="42" spans="1:9" ht="51">
      <c r="A42" s="56" t="s">
        <v>147</v>
      </c>
      <c r="B42" s="83">
        <f>64240/1000</f>
        <v>64.24</v>
      </c>
      <c r="C42" s="83">
        <f>10706/1000</f>
        <v>10.706</v>
      </c>
      <c r="D42" s="83">
        <v>0</v>
      </c>
      <c r="E42" s="26">
        <f>$D:$D/$B:$B*100</f>
        <v>0</v>
      </c>
      <c r="F42" s="26"/>
      <c r="G42" s="27">
        <v>0</v>
      </c>
      <c r="H42" s="26"/>
      <c r="I42" s="28">
        <f>D42-Январь!D42</f>
        <v>0</v>
      </c>
    </row>
    <row r="43" spans="1:9" ht="51">
      <c r="A43" s="56" t="s">
        <v>120</v>
      </c>
      <c r="B43" s="83">
        <f>2735600/1000</f>
        <v>2735.6</v>
      </c>
      <c r="C43" s="83">
        <f>1367800/1000</f>
        <v>1367.8</v>
      </c>
      <c r="D43" s="83">
        <v>0</v>
      </c>
      <c r="E43" s="26">
        <f>$D:$D/$B:$B*100</f>
        <v>0</v>
      </c>
      <c r="F43" s="26">
        <v>0</v>
      </c>
      <c r="G43" s="27">
        <v>0</v>
      </c>
      <c r="H43" s="26" t="s">
        <v>111</v>
      </c>
      <c r="I43" s="28">
        <f>D43-Январь!D43</f>
        <v>0</v>
      </c>
    </row>
    <row r="44" spans="1:9" ht="76.5">
      <c r="A44" s="60" t="s">
        <v>121</v>
      </c>
      <c r="B44" s="82">
        <f>4080190/1000</f>
        <v>4080.19</v>
      </c>
      <c r="C44" s="82">
        <f>646698/1000</f>
        <v>646.698</v>
      </c>
      <c r="D44" s="82">
        <f>185877.13/1000</f>
        <v>185.87713</v>
      </c>
      <c r="E44" s="26">
        <f>$D:$D/$B:$B*100</f>
        <v>4.555599861771143</v>
      </c>
      <c r="F44" s="26">
        <v>236.15</v>
      </c>
      <c r="G44" s="35">
        <v>869.46</v>
      </c>
      <c r="H44" s="26">
        <v>100.86809231420706</v>
      </c>
      <c r="I44" s="28">
        <f>D44-Январь!D44</f>
        <v>97.33324999999999</v>
      </c>
    </row>
    <row r="45" spans="1:9" ht="27" customHeight="1">
      <c r="A45" s="53" t="s">
        <v>13</v>
      </c>
      <c r="B45" s="28">
        <f>766900/1000</f>
        <v>766.9</v>
      </c>
      <c r="C45" s="28">
        <f>287000/1000</f>
        <v>287</v>
      </c>
      <c r="D45" s="28">
        <f>157189.96/1000</f>
        <v>157.18995999999999</v>
      </c>
      <c r="E45" s="26">
        <f>$D:$D/$B:$B*100</f>
        <v>20.496800104316076</v>
      </c>
      <c r="F45" s="26">
        <v>43.6</v>
      </c>
      <c r="G45" s="28">
        <v>104.35</v>
      </c>
      <c r="H45" s="26">
        <v>29.495412844036693</v>
      </c>
      <c r="I45" s="28">
        <f>D45-Январь!D45</f>
        <v>60.933589999999995</v>
      </c>
    </row>
    <row r="46" spans="1:9" ht="25.5">
      <c r="A46" s="53" t="s">
        <v>96</v>
      </c>
      <c r="B46" s="28">
        <f>1277590/1000</f>
        <v>1277.59</v>
      </c>
      <c r="C46" s="28">
        <f>69601.44/1000</f>
        <v>69.60144</v>
      </c>
      <c r="D46" s="28">
        <f>89217.25/1000</f>
        <v>89.21725</v>
      </c>
      <c r="E46" s="26">
        <f>$D:$D/$B:$B*100</f>
        <v>6.983245798730422</v>
      </c>
      <c r="F46" s="26">
        <v>561.58</v>
      </c>
      <c r="G46" s="28">
        <v>481.81</v>
      </c>
      <c r="H46" s="26">
        <v>83.484098436554</v>
      </c>
      <c r="I46" s="28">
        <f>D46-Январь!D46</f>
        <v>67.80102000000001</v>
      </c>
    </row>
    <row r="47" spans="1:9" ht="25.5">
      <c r="A47" s="59" t="s">
        <v>14</v>
      </c>
      <c r="B47" s="28">
        <f>SUM(B48:B50)</f>
        <v>3900</v>
      </c>
      <c r="C47" s="28">
        <f>SUM(C48:C50)</f>
        <v>354.545</v>
      </c>
      <c r="D47" s="28">
        <f>SUM(D48:D50)</f>
        <v>598.56114</v>
      </c>
      <c r="E47" s="26">
        <f>$D:$D/$B:$B*100</f>
        <v>15.34772153846154</v>
      </c>
      <c r="F47" s="26">
        <v>585.5</v>
      </c>
      <c r="G47" s="28">
        <v>90.34</v>
      </c>
      <c r="H47" s="26">
        <v>7.185311699402221</v>
      </c>
      <c r="I47" s="28">
        <f>D47-Январь!D47</f>
        <v>324.83751</v>
      </c>
    </row>
    <row r="48" spans="1:9" ht="12.75">
      <c r="A48" s="56" t="s">
        <v>94</v>
      </c>
      <c r="B48" s="35">
        <v>0</v>
      </c>
      <c r="C48" s="35">
        <v>0</v>
      </c>
      <c r="D48" s="35">
        <v>0</v>
      </c>
      <c r="E48" s="26" t="e">
        <f>$D:$D/$B:$B*100</f>
        <v>#DIV/0!</v>
      </c>
      <c r="F48" s="26">
        <v>0</v>
      </c>
      <c r="G48" s="35">
        <v>0</v>
      </c>
      <c r="H48" s="26" t="s">
        <v>111</v>
      </c>
      <c r="I48" s="28">
        <f>D48-Январь!D48</f>
        <v>0</v>
      </c>
    </row>
    <row r="49" spans="1:9" ht="76.5">
      <c r="A49" s="56" t="s">
        <v>95</v>
      </c>
      <c r="B49" s="28">
        <v>0</v>
      </c>
      <c r="C49" s="28">
        <v>0</v>
      </c>
      <c r="D49" s="28">
        <v>0</v>
      </c>
      <c r="E49" s="26" t="e">
        <f>$D:$D/$B:$B*100</f>
        <v>#DIV/0!</v>
      </c>
      <c r="F49" s="26">
        <v>37.14</v>
      </c>
      <c r="G49" s="28">
        <v>0</v>
      </c>
      <c r="H49" s="26">
        <v>0</v>
      </c>
      <c r="I49" s="28">
        <f>D49-Январь!D49</f>
        <v>0</v>
      </c>
    </row>
    <row r="50" spans="1:9" ht="52.5" customHeight="1">
      <c r="A50" s="60" t="s">
        <v>93</v>
      </c>
      <c r="B50" s="83">
        <f>3900000/1000</f>
        <v>3900</v>
      </c>
      <c r="C50" s="84">
        <f>354545/1000</f>
        <v>354.545</v>
      </c>
      <c r="D50" s="84">
        <f>598561.14/1000</f>
        <v>598.56114</v>
      </c>
      <c r="E50" s="26">
        <f>$D:$D/$B:$B*100</f>
        <v>15.34772153846154</v>
      </c>
      <c r="F50" s="26">
        <v>548.36</v>
      </c>
      <c r="G50" s="28">
        <v>90.34</v>
      </c>
      <c r="H50" s="26">
        <v>7.671967320738202</v>
      </c>
      <c r="I50" s="28">
        <f>D50-Январь!D50</f>
        <v>324.83751</v>
      </c>
    </row>
    <row r="51" spans="1:9" ht="12.75">
      <c r="A51" s="53" t="s">
        <v>15</v>
      </c>
      <c r="B51" s="28">
        <f>5212700/1000</f>
        <v>5212.7</v>
      </c>
      <c r="C51" s="28">
        <f>211704/1000</f>
        <v>211.704</v>
      </c>
      <c r="D51" s="28">
        <f>317034.57/1000</f>
        <v>317.03457000000003</v>
      </c>
      <c r="E51" s="26">
        <f>$D:$D/$B:$B*100</f>
        <v>6.081964624858519</v>
      </c>
      <c r="F51" s="26">
        <v>179.73</v>
      </c>
      <c r="G51" s="28">
        <v>253.91</v>
      </c>
      <c r="H51" s="26">
        <v>44.182941078284095</v>
      </c>
      <c r="I51" s="28">
        <f>D51-Январь!D51</f>
        <v>211.16076000000004</v>
      </c>
    </row>
    <row r="52" spans="1:9" ht="63.75" hidden="1">
      <c r="A52" s="56" t="s">
        <v>126</v>
      </c>
      <c r="B52" s="28">
        <v>223.07</v>
      </c>
      <c r="C52" s="28">
        <v>20</v>
      </c>
      <c r="D52" s="28"/>
      <c r="E52" s="26">
        <f>$D:$D/$B:$B*100</f>
        <v>0</v>
      </c>
      <c r="F52" s="26"/>
      <c r="G52" s="28"/>
      <c r="H52" s="26" t="e">
        <v>#DIV/0!</v>
      </c>
      <c r="I52" s="28">
        <f>D52-Январь!D52</f>
        <v>0</v>
      </c>
    </row>
    <row r="53" spans="1:9" ht="89.25" hidden="1">
      <c r="A53" s="56" t="s">
        <v>127</v>
      </c>
      <c r="B53" s="28">
        <v>223.07</v>
      </c>
      <c r="C53" s="28">
        <v>20</v>
      </c>
      <c r="D53" s="28"/>
      <c r="E53" s="26">
        <f>$D:$D/$B:$B*100</f>
        <v>0</v>
      </c>
      <c r="F53" s="26"/>
      <c r="G53" s="28"/>
      <c r="H53" s="26" t="e">
        <v>#DIV/0!</v>
      </c>
      <c r="I53" s="28">
        <f>D53-Январь!D53</f>
        <v>0</v>
      </c>
    </row>
    <row r="54" spans="1:9" ht="63.75" hidden="1">
      <c r="A54" s="56" t="s">
        <v>128</v>
      </c>
      <c r="B54" s="28">
        <v>223.07</v>
      </c>
      <c r="C54" s="28">
        <v>20</v>
      </c>
      <c r="D54" s="28"/>
      <c r="E54" s="26">
        <f>$D:$D/$B:$B*100</f>
        <v>0</v>
      </c>
      <c r="F54" s="26"/>
      <c r="G54" s="28"/>
      <c r="H54" s="26" t="e">
        <v>#DIV/0!</v>
      </c>
      <c r="I54" s="28">
        <f>D54-Январь!D54</f>
        <v>0</v>
      </c>
    </row>
    <row r="55" spans="1:9" ht="29.25" customHeight="1" hidden="1">
      <c r="A55" s="56" t="s">
        <v>129</v>
      </c>
      <c r="B55" s="28">
        <v>223.07</v>
      </c>
      <c r="C55" s="28">
        <v>20</v>
      </c>
      <c r="D55" s="28"/>
      <c r="E55" s="26">
        <f>$D:$D/$B:$B*100</f>
        <v>0</v>
      </c>
      <c r="F55" s="26"/>
      <c r="G55" s="28"/>
      <c r="H55" s="26" t="s">
        <v>112</v>
      </c>
      <c r="I55" s="28">
        <f>D55-Январь!D55</f>
        <v>0</v>
      </c>
    </row>
    <row r="56" spans="1:9" ht="38.25" customHeight="1" hidden="1">
      <c r="A56" s="56" t="s">
        <v>130</v>
      </c>
      <c r="B56" s="28">
        <v>223.07</v>
      </c>
      <c r="C56" s="28">
        <v>20</v>
      </c>
      <c r="D56" s="28"/>
      <c r="E56" s="26">
        <f>$D:$D/$B:$B*100</f>
        <v>0</v>
      </c>
      <c r="F56" s="26"/>
      <c r="G56" s="28"/>
      <c r="H56" s="26" t="e">
        <v>#DIV/0!</v>
      </c>
      <c r="I56" s="28">
        <f>D56-Январь!D56</f>
        <v>0</v>
      </c>
    </row>
    <row r="57" spans="1:9" ht="43.5" customHeight="1" hidden="1">
      <c r="A57" s="56" t="s">
        <v>131</v>
      </c>
      <c r="B57" s="28">
        <v>223.07</v>
      </c>
      <c r="C57" s="28">
        <v>20</v>
      </c>
      <c r="D57" s="28"/>
      <c r="E57" s="26">
        <f>$D:$D/$B:$B*100</f>
        <v>0</v>
      </c>
      <c r="F57" s="26"/>
      <c r="G57" s="28"/>
      <c r="H57" s="26" t="e">
        <v>#DIV/0!</v>
      </c>
      <c r="I57" s="28">
        <f>D57-Январь!D57</f>
        <v>0</v>
      </c>
    </row>
    <row r="58" spans="1:9" ht="40.5" customHeight="1" hidden="1">
      <c r="A58" s="56" t="s">
        <v>132</v>
      </c>
      <c r="B58" s="28">
        <v>223.07</v>
      </c>
      <c r="C58" s="28">
        <v>20</v>
      </c>
      <c r="D58" s="28"/>
      <c r="E58" s="26">
        <f>$D:$D/$B:$B*100</f>
        <v>0</v>
      </c>
      <c r="F58" s="26"/>
      <c r="G58" s="28"/>
      <c r="H58" s="26" t="e">
        <v>#DIV/0!</v>
      </c>
      <c r="I58" s="28">
        <f>D58-Январь!D58</f>
        <v>0</v>
      </c>
    </row>
    <row r="59" spans="1:9" ht="51" hidden="1">
      <c r="A59" s="56" t="s">
        <v>133</v>
      </c>
      <c r="B59" s="27">
        <v>223.07</v>
      </c>
      <c r="C59" s="27">
        <v>20</v>
      </c>
      <c r="D59" s="27"/>
      <c r="E59" s="26">
        <f>$D:$D/$B:$B*100</f>
        <v>0</v>
      </c>
      <c r="F59" s="26"/>
      <c r="G59" s="27"/>
      <c r="H59" s="26" t="e">
        <v>#DIV/0!</v>
      </c>
      <c r="I59" s="28">
        <f>D59-Январь!D59</f>
        <v>0</v>
      </c>
    </row>
    <row r="60" spans="1:9" ht="76.5" hidden="1">
      <c r="A60" s="56" t="s">
        <v>134</v>
      </c>
      <c r="B60" s="35">
        <v>223.07</v>
      </c>
      <c r="C60" s="35">
        <v>20</v>
      </c>
      <c r="D60" s="35"/>
      <c r="E60" s="26">
        <f>$D:$D/$B:$B*100</f>
        <v>0</v>
      </c>
      <c r="F60" s="26"/>
      <c r="G60" s="35"/>
      <c r="H60" s="26" t="s">
        <v>111</v>
      </c>
      <c r="I60" s="28">
        <f>D60-Январь!D60</f>
        <v>0</v>
      </c>
    </row>
    <row r="61" spans="1:9" ht="12.75" hidden="1">
      <c r="A61" s="56" t="s">
        <v>135</v>
      </c>
      <c r="B61" s="35">
        <v>223.07</v>
      </c>
      <c r="C61" s="35">
        <v>20</v>
      </c>
      <c r="D61" s="35"/>
      <c r="E61" s="26">
        <f>$D:$D/$B:$B*100</f>
        <v>0</v>
      </c>
      <c r="F61" s="26"/>
      <c r="G61" s="35"/>
      <c r="H61" s="26" t="s">
        <v>112</v>
      </c>
      <c r="I61" s="28">
        <f>D61-Январь!D61</f>
        <v>0</v>
      </c>
    </row>
    <row r="62" spans="1:9" ht="12.75">
      <c r="A62" s="52" t="s">
        <v>16</v>
      </c>
      <c r="B62" s="81">
        <f>50000/1000</f>
        <v>50</v>
      </c>
      <c r="C62" s="81">
        <f>8332/1000</f>
        <v>8.332</v>
      </c>
      <c r="D62" s="81">
        <f>34495.82/1000</f>
        <v>34.49582</v>
      </c>
      <c r="E62" s="26">
        <f>$D:$D/$B:$B*100</f>
        <v>68.99164</v>
      </c>
      <c r="F62" s="26">
        <v>-38.79</v>
      </c>
      <c r="G62" s="35">
        <v>4.08</v>
      </c>
      <c r="H62" s="26">
        <v>-18.45836555813354</v>
      </c>
      <c r="I62" s="28">
        <f>D62-Январь!D62</f>
        <v>34.49582</v>
      </c>
    </row>
    <row r="63" spans="1:9" ht="12.75">
      <c r="A63" s="59" t="s">
        <v>17</v>
      </c>
      <c r="B63" s="28">
        <f>B62+B51+B47+B46+B45+B36+B29+B26+B21+B16+B8</f>
        <v>673452.6000000001</v>
      </c>
      <c r="C63" s="28">
        <f>C62+C51+C47+C46+C45+C36+C29+C26+C21+C16+C8</f>
        <v>77902.98813</v>
      </c>
      <c r="D63" s="28">
        <f>D62+D51+D47+D46+D45+D36+D29+D26+D21+D16+D8</f>
        <v>113472.67648</v>
      </c>
      <c r="E63" s="26">
        <f>$D:$D/$B:$B*100</f>
        <v>16.849393183722206</v>
      </c>
      <c r="F63" s="26">
        <v>27699.089999999997</v>
      </c>
      <c r="G63" s="28">
        <v>61965.03999999999</v>
      </c>
      <c r="H63" s="26">
        <v>96.62342697900908</v>
      </c>
      <c r="I63" s="28">
        <f>D63-Январь!D63</f>
        <v>79102.78616999999</v>
      </c>
    </row>
    <row r="64" spans="1:9" ht="12.75">
      <c r="A64" s="59" t="s">
        <v>18</v>
      </c>
      <c r="B64" s="28">
        <f>B65+B70+B71</f>
        <v>2436649.63677</v>
      </c>
      <c r="C64" s="28">
        <f>C65+C70+C71</f>
        <v>216902.21999999997</v>
      </c>
      <c r="D64" s="28">
        <f>D65+D70+D71</f>
        <v>181989.91999999998</v>
      </c>
      <c r="E64" s="26">
        <f>$D:$D/$B:$B*100</f>
        <v>7.468858766303558</v>
      </c>
      <c r="F64" s="26">
        <v>43822.57000000001</v>
      </c>
      <c r="G64" s="28">
        <v>180429.16</v>
      </c>
      <c r="H64" s="26">
        <v>103.7277138241778</v>
      </c>
      <c r="I64" s="28">
        <f>D64-Январь!D64</f>
        <v>155561.83352999997</v>
      </c>
    </row>
    <row r="65" spans="1:9" ht="25.5">
      <c r="A65" s="59" t="s">
        <v>19</v>
      </c>
      <c r="B65" s="28">
        <f>SUM(B66:B69)</f>
        <v>2431827.30677</v>
      </c>
      <c r="C65" s="28">
        <f>SUM(C66:C69)</f>
        <v>216902.21999999997</v>
      </c>
      <c r="D65" s="28">
        <f>SUM(D66:D69)</f>
        <v>206902.21999999997</v>
      </c>
      <c r="E65" s="26">
        <f>$D:$D/$B:$B*100</f>
        <v>8.508096747824231</v>
      </c>
      <c r="F65" s="26">
        <v>46091.770000000004</v>
      </c>
      <c r="G65" s="28">
        <v>183274.46</v>
      </c>
      <c r="H65" s="26">
        <v>114.15588943535906</v>
      </c>
      <c r="I65" s="28">
        <f>D65-Январь!D65</f>
        <v>155581.81314999997</v>
      </c>
    </row>
    <row r="66" spans="1:9" ht="12.75">
      <c r="A66" s="56" t="s">
        <v>108</v>
      </c>
      <c r="B66" s="28">
        <f>460860200/1000</f>
        <v>460860.2</v>
      </c>
      <c r="C66" s="28">
        <v>93345.5</v>
      </c>
      <c r="D66" s="28">
        <v>83345.5</v>
      </c>
      <c r="E66" s="26">
        <f>$D:$D/$B:$B*100</f>
        <v>18.0847684395398</v>
      </c>
      <c r="F66" s="26">
        <v>15902.8</v>
      </c>
      <c r="G66" s="28">
        <v>70967</v>
      </c>
      <c r="H66" s="26">
        <v>109.8963704504867</v>
      </c>
      <c r="I66" s="28">
        <f>D66-Январь!D66</f>
        <v>64680</v>
      </c>
    </row>
    <row r="67" spans="1:9" ht="12.75" customHeight="1">
      <c r="A67" s="56" t="s">
        <v>109</v>
      </c>
      <c r="B67" s="28">
        <f>842782506.77/1000</f>
        <v>842782.50677</v>
      </c>
      <c r="C67" s="28">
        <v>6638.2</v>
      </c>
      <c r="D67" s="28">
        <v>6638.2</v>
      </c>
      <c r="E67" s="26">
        <f>$D:$D/$B:$B*100</f>
        <v>0.7876527985187052</v>
      </c>
      <c r="F67" s="26">
        <v>0</v>
      </c>
      <c r="G67" s="28">
        <v>4363.09</v>
      </c>
      <c r="H67" s="26">
        <v>0</v>
      </c>
      <c r="I67" s="28">
        <f>D67-Январь!D67</f>
        <v>5935.714</v>
      </c>
    </row>
    <row r="68" spans="1:9" ht="18.75" customHeight="1">
      <c r="A68" s="56" t="s">
        <v>110</v>
      </c>
      <c r="B68" s="28">
        <f>1081078200/1000</f>
        <v>1081078.2</v>
      </c>
      <c r="C68" s="28">
        <v>112986.16</v>
      </c>
      <c r="D68" s="28">
        <v>112986.16</v>
      </c>
      <c r="E68" s="26">
        <f>$D:$D/$B:$B*100</f>
        <v>10.451247652574995</v>
      </c>
      <c r="F68" s="26">
        <v>30188.97</v>
      </c>
      <c r="G68" s="27">
        <v>104153.94</v>
      </c>
      <c r="H68" s="26">
        <v>116.39969830040575</v>
      </c>
      <c r="I68" s="28">
        <f>D68-Январь!D68</f>
        <v>81033.73915000001</v>
      </c>
    </row>
    <row r="69" spans="1:9" ht="12.75" customHeight="1">
      <c r="A69" s="2" t="s">
        <v>122</v>
      </c>
      <c r="B69" s="36">
        <v>47106.4</v>
      </c>
      <c r="C69" s="36">
        <v>3932.36</v>
      </c>
      <c r="D69" s="36">
        <v>3932.36</v>
      </c>
      <c r="E69" s="26">
        <f>$D:$D/$B:$B*100</f>
        <v>8.347825348572593</v>
      </c>
      <c r="F69" s="26">
        <v>0</v>
      </c>
      <c r="G69" s="35">
        <v>3790.43</v>
      </c>
      <c r="H69" s="26" t="s">
        <v>111</v>
      </c>
      <c r="I69" s="28">
        <f>D69-Январь!D69</f>
        <v>3932.36</v>
      </c>
    </row>
    <row r="70" spans="1:9" ht="12.75" customHeight="1">
      <c r="A70" s="59" t="s">
        <v>113</v>
      </c>
      <c r="B70" s="83">
        <f>4822330/1000</f>
        <v>4822.33</v>
      </c>
      <c r="C70" s="83">
        <v>0</v>
      </c>
      <c r="D70" s="83">
        <v>0</v>
      </c>
      <c r="E70" s="26">
        <f>$D:$D/$B:$B*100</f>
        <v>0</v>
      </c>
      <c r="F70" s="26">
        <v>0</v>
      </c>
      <c r="G70" s="35"/>
      <c r="H70" s="26" t="s">
        <v>112</v>
      </c>
      <c r="I70" s="28">
        <f>D70-Январь!D70</f>
        <v>0</v>
      </c>
    </row>
    <row r="71" spans="1:9" ht="25.5">
      <c r="A71" s="59" t="s">
        <v>21</v>
      </c>
      <c r="B71" s="83">
        <v>0</v>
      </c>
      <c r="C71" s="83">
        <v>0</v>
      </c>
      <c r="D71" s="83">
        <f>-24912.3</f>
        <v>-24912.3</v>
      </c>
      <c r="E71" s="26" t="e">
        <f>$D:$D/$B:$B*100</f>
        <v>#DIV/0!</v>
      </c>
      <c r="F71" s="26">
        <v>-2269.2</v>
      </c>
      <c r="G71" s="35">
        <v>-2845.2999999999993</v>
      </c>
      <c r="H71" s="26">
        <v>315.5438039837828</v>
      </c>
      <c r="I71" s="28">
        <f>D71-Январь!D71</f>
        <v>-19.979620000001887</v>
      </c>
    </row>
    <row r="72" spans="1:9" ht="12.75">
      <c r="A72" s="52" t="s">
        <v>20</v>
      </c>
      <c r="B72" s="27">
        <f>B9+B11+B12+B13+B14+B15+B17+B18+B19+B20+B22+B23+B24+B25+B27+B28+B30+B31+B32+B38+B39+B40+B41+B42+B43+B44+B45+B46+B48+B49+B50+B51+B62+B66+B67+B68+B69+B70+B71</f>
        <v>3110102.23677</v>
      </c>
      <c r="C72" s="27">
        <f>C9+C11+C12+C13+C14+C15+C17+C18+C19+C20+C22+C23+C24+C25+C27+C28+C30+C31+C32+C38+C39+C40+C41+C42+C43+C44+C45+C46+C48+C49+C50+C51+C62+C66+C67+C68+C69+C70+C71</f>
        <v>294805.20813000004</v>
      </c>
      <c r="D72" s="27">
        <f>D9+D11+D12+D13+D14+D15+D17+D18+D19+D20+D22+D23+D24+D25+D27+D28+D30+D31+D32+D38+D39+D40+D41+D42+D43+D44+D45+D46+D48+D49+D50+D51+D62+D66+D67+D68+D69+D70+D71</f>
        <v>295462.59648</v>
      </c>
      <c r="E72" s="26">
        <f>$D:$D/$B:$B*100</f>
        <v>9.500092729647788</v>
      </c>
      <c r="F72" s="26">
        <v>71521.66</v>
      </c>
      <c r="G72" s="35">
        <v>242394.2</v>
      </c>
      <c r="H72" s="26">
        <v>100.97634758477363</v>
      </c>
      <c r="I72" s="28">
        <f>D72-Январь!D72</f>
        <v>234664.6197</v>
      </c>
    </row>
    <row r="73" spans="1:9" ht="12.75" hidden="1">
      <c r="A73" s="59"/>
      <c r="B73" s="66"/>
      <c r="C73" s="66"/>
      <c r="D73" s="66"/>
      <c r="E73" s="50"/>
      <c r="F73" s="50"/>
      <c r="G73" s="66"/>
      <c r="H73" s="50"/>
      <c r="I73" s="66"/>
    </row>
    <row r="74" spans="1:9" ht="12.75" hidden="1">
      <c r="A74" s="59"/>
      <c r="B74" s="61"/>
      <c r="C74" s="61"/>
      <c r="D74" s="61"/>
      <c r="E74" s="50"/>
      <c r="F74" s="50"/>
      <c r="G74" s="61"/>
      <c r="H74" s="50"/>
      <c r="I74" s="61"/>
    </row>
    <row r="75" spans="1:9" ht="12.75" hidden="1">
      <c r="A75" s="52"/>
      <c r="B75" s="62"/>
      <c r="C75" s="62"/>
      <c r="D75" s="62"/>
      <c r="E75" s="50"/>
      <c r="F75" s="50"/>
      <c r="G75" s="62"/>
      <c r="H75" s="50"/>
      <c r="I75" s="62"/>
    </row>
    <row r="76" spans="1:9" ht="12.75" hidden="1">
      <c r="A76" s="67"/>
      <c r="B76" s="68"/>
      <c r="C76" s="68"/>
      <c r="D76" s="68"/>
      <c r="E76" s="69"/>
      <c r="F76" s="69"/>
      <c r="G76" s="68"/>
      <c r="H76" s="69"/>
      <c r="I76" s="70"/>
    </row>
    <row r="77" spans="1:9" ht="12.75">
      <c r="A77" s="86" t="s">
        <v>22</v>
      </c>
      <c r="B77" s="87"/>
      <c r="C77" s="87"/>
      <c r="D77" s="87"/>
      <c r="E77" s="87"/>
      <c r="F77" s="87"/>
      <c r="G77" s="87"/>
      <c r="H77" s="87"/>
      <c r="I77" s="88"/>
    </row>
    <row r="78" spans="1:9" ht="12.75">
      <c r="A78" s="7" t="s">
        <v>23</v>
      </c>
      <c r="B78" s="35">
        <f>B79+B80+B81+B82+B83+B84+B85+B86</f>
        <v>312210.643</v>
      </c>
      <c r="C78" s="35">
        <f>C79+C80+C81+C82+C83+C84+C85+C86</f>
        <v>17865.200960000002</v>
      </c>
      <c r="D78" s="35">
        <f>D79+D80+D81+D82+D83+D84+D85+D86</f>
        <v>13857.27002</v>
      </c>
      <c r="E78" s="26">
        <f>$D:$D/$B:$B*100</f>
        <v>4.438436142614139</v>
      </c>
      <c r="F78" s="26">
        <f>$D:$D/$C:$C*100</f>
        <v>77.56571029358295</v>
      </c>
      <c r="G78" s="35">
        <f>G79+G80+G81+G82+G83+G84+G85+G86</f>
        <v>14108.8</v>
      </c>
      <c r="H78" s="26">
        <f>$D:$D/$G:$G*100</f>
        <v>98.21721209457928</v>
      </c>
      <c r="I78" s="35">
        <f>I79+I80+I81+I82+I83+I84+I85+I86</f>
        <v>10621.13002</v>
      </c>
    </row>
    <row r="79" spans="1:9" ht="14.25" customHeight="1">
      <c r="A79" s="8" t="s">
        <v>24</v>
      </c>
      <c r="B79" s="36">
        <f>2878440/1000</f>
        <v>2878.44</v>
      </c>
      <c r="C79" s="36">
        <f>108264.99/1000</f>
        <v>108.26499000000001</v>
      </c>
      <c r="D79" s="83">
        <f>14000/1000</f>
        <v>14</v>
      </c>
      <c r="E79" s="29">
        <f>$D:$D/$B:$B*100</f>
        <v>0.4863745639999444</v>
      </c>
      <c r="F79" s="29">
        <v>0</v>
      </c>
      <c r="G79" s="36">
        <v>261.7</v>
      </c>
      <c r="H79" s="29">
        <v>0</v>
      </c>
      <c r="I79" s="36">
        <f>D79-Январь!D79</f>
        <v>14</v>
      </c>
    </row>
    <row r="80" spans="1:9" ht="12.75">
      <c r="A80" s="8" t="s">
        <v>25</v>
      </c>
      <c r="B80" s="36">
        <f>6543130/1000</f>
        <v>6543.13</v>
      </c>
      <c r="C80" s="36">
        <f>961960.82/1000</f>
        <v>961.9608199999999</v>
      </c>
      <c r="D80" s="83">
        <f>656626.2/1000</f>
        <v>656.6261999999999</v>
      </c>
      <c r="E80" s="29">
        <f>$D:$D/$B:$B*100</f>
        <v>10.03535311082005</v>
      </c>
      <c r="F80" s="29">
        <f>$D:$D/$C:$C*100</f>
        <v>68.25914178084716</v>
      </c>
      <c r="G80" s="36">
        <v>1077.8</v>
      </c>
      <c r="H80" s="29">
        <f>$D:$D/$G:$G*100</f>
        <v>60.9228242716645</v>
      </c>
      <c r="I80" s="36">
        <f>D80-Январь!D80</f>
        <v>479.71619999999996</v>
      </c>
    </row>
    <row r="81" spans="1:9" ht="25.5">
      <c r="A81" s="8" t="s">
        <v>26</v>
      </c>
      <c r="B81" s="36">
        <f>63980770/1000</f>
        <v>63980.77</v>
      </c>
      <c r="C81" s="36">
        <f>9254770.93/1000</f>
        <v>9254.77093</v>
      </c>
      <c r="D81" s="83">
        <f>6398153.01/1000</f>
        <v>6398.15301</v>
      </c>
      <c r="E81" s="29">
        <f>$D:$D/$B:$B*100</f>
        <v>10.000118801321085</v>
      </c>
      <c r="F81" s="29">
        <f>$D:$D/$C:$C*100</f>
        <v>69.13356428153105</v>
      </c>
      <c r="G81" s="36">
        <v>5935.2</v>
      </c>
      <c r="H81" s="29">
        <f>$D:$D/$G:$G*100</f>
        <v>107.80012484836232</v>
      </c>
      <c r="I81" s="36">
        <f>D81-Январь!D81</f>
        <v>4710.31301</v>
      </c>
    </row>
    <row r="82" spans="1:9" ht="12.75">
      <c r="A82" s="8" t="s">
        <v>72</v>
      </c>
      <c r="B82" s="45">
        <f>327700/1000</f>
        <v>327.7</v>
      </c>
      <c r="C82" s="45">
        <v>0</v>
      </c>
      <c r="D82" s="83">
        <v>0</v>
      </c>
      <c r="E82" s="29">
        <v>0</v>
      </c>
      <c r="F82" s="29">
        <v>0</v>
      </c>
      <c r="G82" s="45">
        <v>0</v>
      </c>
      <c r="H82" s="29">
        <v>0</v>
      </c>
      <c r="I82" s="36">
        <f>D82-Январь!D82</f>
        <v>0</v>
      </c>
    </row>
    <row r="83" spans="1:9" ht="25.5">
      <c r="A83" s="1" t="s">
        <v>27</v>
      </c>
      <c r="B83" s="28">
        <f>15705720/1000</f>
        <v>15705.72</v>
      </c>
      <c r="C83" s="28">
        <f>2368376.56/1000</f>
        <v>2368.37656</v>
      </c>
      <c r="D83" s="83">
        <f>1903476.62/1000</f>
        <v>1903.4766200000001</v>
      </c>
      <c r="E83" s="29">
        <f>$D:$D/$B:$B*100</f>
        <v>12.119639341590199</v>
      </c>
      <c r="F83" s="29">
        <v>0</v>
      </c>
      <c r="G83" s="28">
        <v>2321.9</v>
      </c>
      <c r="H83" s="29">
        <f>$D:$D/$G:$G*100</f>
        <v>81.97926784099229</v>
      </c>
      <c r="I83" s="36">
        <f>D83-Январь!D83</f>
        <v>1466.3666200000002</v>
      </c>
    </row>
    <row r="84" spans="1:9" ht="12.75" hidden="1">
      <c r="A84" s="8" t="s">
        <v>28</v>
      </c>
      <c r="B84" s="36">
        <v>0</v>
      </c>
      <c r="C84" s="28">
        <v>0</v>
      </c>
      <c r="D84" s="83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D84-Январь!D84</f>
        <v>0</v>
      </c>
    </row>
    <row r="85" spans="1:9" ht="12.75">
      <c r="A85" s="8" t="s">
        <v>29</v>
      </c>
      <c r="B85" s="36">
        <f>1000000/1000</f>
        <v>1000</v>
      </c>
      <c r="C85" s="28">
        <v>0</v>
      </c>
      <c r="D85" s="83">
        <v>0</v>
      </c>
      <c r="E85" s="29">
        <f>$D:$D/$B:$B*100</f>
        <v>0</v>
      </c>
      <c r="F85" s="29">
        <v>0</v>
      </c>
      <c r="G85" s="36">
        <v>0</v>
      </c>
      <c r="H85" s="29">
        <v>0</v>
      </c>
      <c r="I85" s="36">
        <f>D85-Январь!D85</f>
        <v>0</v>
      </c>
    </row>
    <row r="86" spans="1:9" ht="12.75">
      <c r="A86" s="1" t="s">
        <v>30</v>
      </c>
      <c r="B86" s="36">
        <f>221774883/1000</f>
        <v>221774.883</v>
      </c>
      <c r="C86" s="28">
        <f>5171827.66/1000</f>
        <v>5171.82766</v>
      </c>
      <c r="D86" s="83">
        <f>4885014.19/1000</f>
        <v>4885.014190000001</v>
      </c>
      <c r="E86" s="29">
        <f>$D:$D/$B:$B*100</f>
        <v>2.202690459766808</v>
      </c>
      <c r="F86" s="29">
        <f>$D:$D/$C:$C*100</f>
        <v>94.45431114771526</v>
      </c>
      <c r="G86" s="36">
        <v>4512.2</v>
      </c>
      <c r="H86" s="29">
        <f>$D:$D/$G:$G*100</f>
        <v>108.2623596028545</v>
      </c>
      <c r="I86" s="36">
        <f>D86-Январь!D86</f>
        <v>3950.734190000001</v>
      </c>
    </row>
    <row r="87" spans="1:9" ht="12.75">
      <c r="A87" s="7" t="s">
        <v>31</v>
      </c>
      <c r="B87" s="27">
        <f>428600/1000</f>
        <v>428.6</v>
      </c>
      <c r="C87" s="28">
        <f>70000/1000</f>
        <v>70</v>
      </c>
      <c r="D87" s="83">
        <f>41599.18/1000</f>
        <v>41.59918</v>
      </c>
      <c r="E87" s="26">
        <f>$D:$D/$B:$B*100</f>
        <v>9.70582827811479</v>
      </c>
      <c r="F87" s="26">
        <f>$D:$D/$C:$C*100</f>
        <v>59.4274</v>
      </c>
      <c r="G87" s="35">
        <v>43.7</v>
      </c>
      <c r="H87" s="26">
        <v>0</v>
      </c>
      <c r="I87" s="35">
        <f>D87-Январь!D87</f>
        <v>9.999179999999996</v>
      </c>
    </row>
    <row r="88" spans="1:9" ht="25.5">
      <c r="A88" s="9" t="s">
        <v>32</v>
      </c>
      <c r="B88" s="27">
        <f>4928424.15/1000</f>
        <v>4928.424150000001</v>
      </c>
      <c r="C88" s="28">
        <f>517602.81/1000</f>
        <v>517.60281</v>
      </c>
      <c r="D88" s="83">
        <f>510768.91/1000</f>
        <v>510.76890999999995</v>
      </c>
      <c r="E88" s="26">
        <f>$D:$D/$B:$B*100</f>
        <v>10.363736854913347</v>
      </c>
      <c r="F88" s="26">
        <f>$D:$D/$C:$C*100</f>
        <v>98.67970191274657</v>
      </c>
      <c r="G88" s="27">
        <v>788.3</v>
      </c>
      <c r="H88" s="26">
        <f>$D:$D/$G:$G*100</f>
        <v>64.79372193327413</v>
      </c>
      <c r="I88" s="35">
        <f>D88-Январь!D88</f>
        <v>423.76890999999995</v>
      </c>
    </row>
    <row r="89" spans="1:9" ht="12.75">
      <c r="A89" s="7" t="s">
        <v>33</v>
      </c>
      <c r="B89" s="35">
        <f>B90+B91+B92+B93+B94</f>
        <v>112585.3138</v>
      </c>
      <c r="C89" s="35">
        <f>C90+C91+C92+C93+C94</f>
        <v>5709.837409999999</v>
      </c>
      <c r="D89" s="35">
        <f>D90+D91+D92+D93+D94</f>
        <v>5082.763539999999</v>
      </c>
      <c r="E89" s="26">
        <f>$D:$D/$B:$B*100</f>
        <v>4.51458842050143</v>
      </c>
      <c r="F89" s="26">
        <f>$D:$D/$C:$C*100</f>
        <v>89.01765803520489</v>
      </c>
      <c r="G89" s="35">
        <f>G90+G91+G92+G93+G94</f>
        <v>5663.6</v>
      </c>
      <c r="H89" s="26">
        <f>$D:$D/$G:$G*100</f>
        <v>89.74439473126631</v>
      </c>
      <c r="I89" s="35">
        <f>D89-Январь!D89</f>
        <v>4202.473539999999</v>
      </c>
    </row>
    <row r="90" spans="1:9" ht="12.75" customHeight="1" hidden="1">
      <c r="A90" s="10" t="s">
        <v>64</v>
      </c>
      <c r="B90" s="36"/>
      <c r="C90" s="36"/>
      <c r="D90" s="36"/>
      <c r="E90" s="29">
        <v>0</v>
      </c>
      <c r="F90" s="29">
        <v>0</v>
      </c>
      <c r="G90" s="36"/>
      <c r="H90" s="29">
        <v>0</v>
      </c>
      <c r="I90" s="36">
        <f>D90-Январь!D90</f>
        <v>0</v>
      </c>
    </row>
    <row r="91" spans="1:9" ht="12.75" customHeight="1">
      <c r="A91" s="10" t="s">
        <v>67</v>
      </c>
      <c r="B91" s="36">
        <f>550000/1000</f>
        <v>550</v>
      </c>
      <c r="C91" s="36">
        <v>0</v>
      </c>
      <c r="D91" s="83">
        <v>0</v>
      </c>
      <c r="E91" s="29">
        <v>0</v>
      </c>
      <c r="F91" s="29">
        <v>0</v>
      </c>
      <c r="G91" s="36">
        <v>0</v>
      </c>
      <c r="H91" s="29">
        <v>0</v>
      </c>
      <c r="I91" s="36">
        <f>D91-Январь!D91</f>
        <v>0</v>
      </c>
    </row>
    <row r="92" spans="1:9" ht="12.75">
      <c r="A92" s="8" t="s">
        <v>34</v>
      </c>
      <c r="B92" s="36">
        <f>27875603.8/1000</f>
        <v>27875.6038</v>
      </c>
      <c r="C92" s="36">
        <f>2338903.76/1000</f>
        <v>2338.9037599999997</v>
      </c>
      <c r="D92" s="83">
        <f>2338903.76/1000</f>
        <v>2338.9037599999997</v>
      </c>
      <c r="E92" s="29">
        <f>$D:$D/$B:$B*100</f>
        <v>8.390504387926477</v>
      </c>
      <c r="F92" s="29">
        <v>0</v>
      </c>
      <c r="G92" s="36">
        <v>2211.5</v>
      </c>
      <c r="H92" s="29">
        <v>0</v>
      </c>
      <c r="I92" s="36">
        <f>D92-Январь!D92</f>
        <v>2338.9037599999997</v>
      </c>
    </row>
    <row r="93" spans="1:9" ht="12.75">
      <c r="A93" s="10" t="s">
        <v>77</v>
      </c>
      <c r="B93" s="28">
        <f>65418760/1000</f>
        <v>65418.76</v>
      </c>
      <c r="C93" s="28">
        <f>1521656.89/1000</f>
        <v>1521.65689</v>
      </c>
      <c r="D93" s="83">
        <f>1521656.89/1000</f>
        <v>1521.65689</v>
      </c>
      <c r="E93" s="29">
        <f>$D:$D/$B:$B*100</f>
        <v>2.3260252716499057</v>
      </c>
      <c r="F93" s="29">
        <f>$D:$D/$C:$C*100</f>
        <v>100</v>
      </c>
      <c r="G93" s="28">
        <v>1930.3</v>
      </c>
      <c r="H93" s="29">
        <v>0</v>
      </c>
      <c r="I93" s="36">
        <f>D93-Январь!D93</f>
        <v>1521.65689</v>
      </c>
    </row>
    <row r="94" spans="1:9" ht="12.75">
      <c r="A94" s="8" t="s">
        <v>35</v>
      </c>
      <c r="B94" s="36">
        <f>18740950/1000</f>
        <v>18740.95</v>
      </c>
      <c r="C94" s="28">
        <f>1849276.76/1000</f>
        <v>1849.27676</v>
      </c>
      <c r="D94" s="83">
        <f>1222202.89/1000</f>
        <v>1222.2028899999998</v>
      </c>
      <c r="E94" s="29">
        <f>$D:$D/$B:$B*100</f>
        <v>6.521563154482562</v>
      </c>
      <c r="F94" s="29">
        <f>$D:$D/$C:$C*100</f>
        <v>66.09085867709709</v>
      </c>
      <c r="G94" s="36">
        <v>1521.8</v>
      </c>
      <c r="H94" s="29">
        <f>$D:$D/$G:$G*100</f>
        <v>80.3129773951899</v>
      </c>
      <c r="I94" s="36">
        <f>D94-Январь!D94</f>
        <v>341.91288999999983</v>
      </c>
    </row>
    <row r="95" spans="1:9" ht="12.75">
      <c r="A95" s="7" t="s">
        <v>36</v>
      </c>
      <c r="B95" s="35">
        <f>B97+B98+B99+B96</f>
        <v>477755.80864</v>
      </c>
      <c r="C95" s="28">
        <f>C97+C98+C99+C96</f>
        <v>8426.68476</v>
      </c>
      <c r="D95" s="35">
        <f>D97+D98+D99+D96</f>
        <v>7258.836570000001</v>
      </c>
      <c r="E95" s="35">
        <f>E98+E99+E96</f>
        <v>3.774963110941586</v>
      </c>
      <c r="F95" s="26">
        <f>$D:$D/$C:$C*100</f>
        <v>86.14107180627464</v>
      </c>
      <c r="G95" s="35">
        <f>G97+G98+G99+G96</f>
        <v>8431.7</v>
      </c>
      <c r="H95" s="35">
        <f>H97+H98+H99</f>
        <v>176.24680898595557</v>
      </c>
      <c r="I95" s="35">
        <f>D95-Январь!D95</f>
        <v>5632.406570000001</v>
      </c>
    </row>
    <row r="96" spans="1:9" ht="12.75">
      <c r="A96" s="8" t="s">
        <v>37</v>
      </c>
      <c r="B96" s="71">
        <f>35000000/1000</f>
        <v>35000</v>
      </c>
      <c r="C96" s="49">
        <v>0</v>
      </c>
      <c r="D96" s="49">
        <v>0</v>
      </c>
      <c r="E96" s="48">
        <v>0</v>
      </c>
      <c r="F96" s="29">
        <v>0</v>
      </c>
      <c r="G96" s="49">
        <v>330</v>
      </c>
      <c r="H96" s="29">
        <v>0</v>
      </c>
      <c r="I96" s="36">
        <f>D96-Январь!D96</f>
        <v>0</v>
      </c>
    </row>
    <row r="97" spans="1:9" ht="12.75">
      <c r="A97" s="8" t="s">
        <v>38</v>
      </c>
      <c r="B97" s="36">
        <f>30675160/1000</f>
        <v>30675.16</v>
      </c>
      <c r="C97" s="36">
        <f>126800/1000</f>
        <v>126.8</v>
      </c>
      <c r="D97" s="36">
        <v>0</v>
      </c>
      <c r="E97" s="29">
        <f>$D:$D/$B:$B*100</f>
        <v>0</v>
      </c>
      <c r="F97" s="29">
        <v>0</v>
      </c>
      <c r="G97" s="36">
        <v>0</v>
      </c>
      <c r="H97" s="29">
        <v>0</v>
      </c>
      <c r="I97" s="36">
        <f>D97-Январь!D97</f>
        <v>0</v>
      </c>
    </row>
    <row r="98" spans="1:9" ht="12.75">
      <c r="A98" s="8" t="s">
        <v>39</v>
      </c>
      <c r="B98" s="36">
        <f>290979247.99/1000</f>
        <v>290979.24799</v>
      </c>
      <c r="C98" s="28">
        <f>4603010.49/1000</f>
        <v>4603.010490000001</v>
      </c>
      <c r="D98" s="28">
        <f>4603010.49/1000</f>
        <v>4603.010490000001</v>
      </c>
      <c r="E98" s="29">
        <f>$D:$D/$B:$B*100</f>
        <v>1.5819033562689635</v>
      </c>
      <c r="F98" s="29">
        <f>$D:$D/$C:$C*100</f>
        <v>100</v>
      </c>
      <c r="G98" s="36">
        <v>4778.9</v>
      </c>
      <c r="H98" s="29">
        <f>$D:$D/$G:$G*100</f>
        <v>96.31945615099711</v>
      </c>
      <c r="I98" s="36">
        <f>D98-Январь!D98</f>
        <v>3446.9204900000004</v>
      </c>
    </row>
    <row r="99" spans="1:9" ht="12.75">
      <c r="A99" s="8" t="s">
        <v>40</v>
      </c>
      <c r="B99" s="36">
        <f>121101400.65/1000</f>
        <v>121101.40065000001</v>
      </c>
      <c r="C99" s="28">
        <f>3696874.27/1000</f>
        <v>3696.87427</v>
      </c>
      <c r="D99" s="28">
        <f>2655826.08/1000</f>
        <v>2655.8260800000003</v>
      </c>
      <c r="E99" s="29">
        <f>$D:$D/$B:$B*100</f>
        <v>2.1930597546726225</v>
      </c>
      <c r="F99" s="29">
        <f>$D:$D/$C:$C*100</f>
        <v>71.8397729009053</v>
      </c>
      <c r="G99" s="36">
        <v>3322.8</v>
      </c>
      <c r="H99" s="29">
        <f>$D:$D/$G:$G*100</f>
        <v>79.92735283495847</v>
      </c>
      <c r="I99" s="36">
        <f>D99-Январь!D99</f>
        <v>2185.48608</v>
      </c>
    </row>
    <row r="100" spans="1:9" ht="12.75">
      <c r="A100" s="11" t="s">
        <v>115</v>
      </c>
      <c r="B100" s="35">
        <f>B101</f>
        <v>1950.5</v>
      </c>
      <c r="C100" s="35">
        <f>C101</f>
        <v>412</v>
      </c>
      <c r="D100" s="35">
        <f>D101</f>
        <v>0</v>
      </c>
      <c r="E100" s="26">
        <f>$D:$D/$B:$B*100</f>
        <v>0</v>
      </c>
      <c r="F100" s="26"/>
      <c r="G100" s="35">
        <f>G101</f>
        <v>0</v>
      </c>
      <c r="H100" s="26">
        <v>0</v>
      </c>
      <c r="I100" s="36">
        <f>D100-Январь!D100</f>
        <v>0</v>
      </c>
    </row>
    <row r="101" spans="1:9" ht="25.5">
      <c r="A101" s="41" t="s">
        <v>143</v>
      </c>
      <c r="B101" s="36">
        <f>1950500/1000</f>
        <v>1950.5</v>
      </c>
      <c r="C101" s="36">
        <f>412000/1000</f>
        <v>412</v>
      </c>
      <c r="D101" s="36">
        <v>0</v>
      </c>
      <c r="E101" s="29">
        <f>$D:$D/$B:$B*100</f>
        <v>0</v>
      </c>
      <c r="F101" s="29"/>
      <c r="G101" s="36">
        <v>0</v>
      </c>
      <c r="H101" s="29">
        <v>0</v>
      </c>
      <c r="I101" s="36">
        <f>D101-Январь!D101</f>
        <v>0</v>
      </c>
    </row>
    <row r="102" spans="1:9" ht="12.75">
      <c r="A102" s="11" t="s">
        <v>41</v>
      </c>
      <c r="B102" s="35">
        <f>B103+B104+B106+B107+B108+B105</f>
        <v>1605135.2870000005</v>
      </c>
      <c r="C102" s="35">
        <f>C103+C104+C106+C107+C108+C105</f>
        <v>184114.65515</v>
      </c>
      <c r="D102" s="35">
        <f>D103+D104+D106+D107+D108+D105</f>
        <v>182186.99302999998</v>
      </c>
      <c r="E102" s="35">
        <f>E103+E104+E107+E108+E106</f>
        <v>40.78737401477035</v>
      </c>
      <c r="F102" s="35">
        <f>F103+F104+F107+F108+F106</f>
        <v>496.503425479473</v>
      </c>
      <c r="G102" s="35">
        <f>G103+G104+G105+G107+G108+G106</f>
        <v>169288.9</v>
      </c>
      <c r="H102" s="35">
        <f>H103+H104+H107+H108+H106</f>
        <v>419.49639465659277</v>
      </c>
      <c r="I102" s="35">
        <f>D102-Январь!D102</f>
        <v>137012.29303</v>
      </c>
    </row>
    <row r="103" spans="1:9" ht="12.75">
      <c r="A103" s="8" t="s">
        <v>42</v>
      </c>
      <c r="B103" s="36">
        <f>601601900/1000</f>
        <v>601601.9</v>
      </c>
      <c r="C103" s="28">
        <f>71359685.43/1000</f>
        <v>71359.68543000001</v>
      </c>
      <c r="D103" s="28">
        <f>71355397.03/1000</f>
        <v>71355.39703000001</v>
      </c>
      <c r="E103" s="29">
        <f>$D:$D/$B:$B*100</f>
        <v>11.860899546693586</v>
      </c>
      <c r="F103" s="29">
        <f>$D:$D/$C:$C*100</f>
        <v>99.99399044436062</v>
      </c>
      <c r="G103" s="36">
        <v>67351.3</v>
      </c>
      <c r="H103" s="29">
        <f>$D:$D/$G:$G*100</f>
        <v>105.94509241840915</v>
      </c>
      <c r="I103" s="36">
        <f>D103-Январь!D103</f>
        <v>52194.96703000001</v>
      </c>
    </row>
    <row r="104" spans="1:9" ht="12.75">
      <c r="A104" s="8" t="s">
        <v>43</v>
      </c>
      <c r="B104" s="36">
        <f>636730121/1000</f>
        <v>636730.121</v>
      </c>
      <c r="C104" s="28">
        <f>73950346.89/1000</f>
        <v>73950.34689</v>
      </c>
      <c r="D104" s="28">
        <f>72898740.3/1000</f>
        <v>72898.74029999999</v>
      </c>
      <c r="E104" s="29">
        <f>$D:$D/$B:$B*100</f>
        <v>11.4489228474869</v>
      </c>
      <c r="F104" s="29">
        <f>$D:$D/$C:$C*100</f>
        <v>98.57795583898442</v>
      </c>
      <c r="G104" s="36">
        <v>66726.5</v>
      </c>
      <c r="H104" s="29">
        <f>$D:$D/$G:$G*100</f>
        <v>109.25005852247607</v>
      </c>
      <c r="I104" s="36">
        <f>D104-Январь!D104</f>
        <v>54272.92029999999</v>
      </c>
    </row>
    <row r="105" spans="1:9" ht="12.75">
      <c r="A105" s="22" t="s">
        <v>105</v>
      </c>
      <c r="B105" s="36">
        <f>141129380/1000</f>
        <v>141129.38</v>
      </c>
      <c r="C105" s="28">
        <f>15633780.24/1000</f>
        <v>15633.78024</v>
      </c>
      <c r="D105" s="28">
        <f>15189984.18/1000</f>
        <v>15189.98418</v>
      </c>
      <c r="E105" s="29">
        <f>$D:$D/$B:$B*100</f>
        <v>10.763162269968166</v>
      </c>
      <c r="F105" s="29">
        <f>$D:$D/$C:$C*100</f>
        <v>97.16130038169194</v>
      </c>
      <c r="G105" s="36">
        <v>14222.7</v>
      </c>
      <c r="H105" s="29">
        <f>$D:$D/$G:$G*100</f>
        <v>106.80098841992024</v>
      </c>
      <c r="I105" s="36">
        <f>D105-Январь!D105</f>
        <v>11992.874179999999</v>
      </c>
    </row>
    <row r="106" spans="1:9" ht="25.5">
      <c r="A106" s="8" t="s">
        <v>123</v>
      </c>
      <c r="B106" s="36">
        <f>1704870/1000</f>
        <v>1704.87</v>
      </c>
      <c r="C106" s="28">
        <f>16400/1000</f>
        <v>16.4</v>
      </c>
      <c r="D106" s="28">
        <f>16400/1000</f>
        <v>16.4</v>
      </c>
      <c r="E106" s="29">
        <f>$D:$D/$B:$B*100</f>
        <v>0.9619501780194384</v>
      </c>
      <c r="F106" s="29">
        <f>$D:$D/$C:$C*100</f>
        <v>100</v>
      </c>
      <c r="G106" s="36">
        <v>55.2</v>
      </c>
      <c r="H106" s="29">
        <v>0</v>
      </c>
      <c r="I106" s="36">
        <f>D106-Январь!D106</f>
        <v>16.4</v>
      </c>
    </row>
    <row r="107" spans="1:9" ht="12.75">
      <c r="A107" s="8" t="s">
        <v>44</v>
      </c>
      <c r="B107" s="36">
        <f>52293739/1000</f>
        <v>52293.739</v>
      </c>
      <c r="C107" s="28">
        <f>2464727.06/1000</f>
        <v>2464.72706</v>
      </c>
      <c r="D107" s="28">
        <f>2464727.06/1000</f>
        <v>2464.72706</v>
      </c>
      <c r="E107" s="29">
        <f>$D:$D/$B:$B*100</f>
        <v>4.713235479298965</v>
      </c>
      <c r="F107" s="29">
        <f>$D:$D/$C:$C*100</f>
        <v>100</v>
      </c>
      <c r="G107" s="36">
        <v>2633.9</v>
      </c>
      <c r="H107" s="29">
        <f>$D:$D/$G:$G*100</f>
        <v>93.57709328372376</v>
      </c>
      <c r="I107" s="36">
        <f>D107-Январь!D107</f>
        <v>1917.88706</v>
      </c>
    </row>
    <row r="108" spans="1:9" ht="12.75">
      <c r="A108" s="8" t="s">
        <v>45</v>
      </c>
      <c r="B108" s="36">
        <f>171675277/1000</f>
        <v>171675.277</v>
      </c>
      <c r="C108" s="28">
        <f>20689715.53/1000</f>
        <v>20689.71553</v>
      </c>
      <c r="D108" s="28">
        <f>20261744.46/1000</f>
        <v>20261.74446</v>
      </c>
      <c r="E108" s="29">
        <f>$D:$D/$B:$B*100</f>
        <v>11.802365963271463</v>
      </c>
      <c r="F108" s="29">
        <f>$D:$D/$C:$C*100</f>
        <v>97.93147919612794</v>
      </c>
      <c r="G108" s="28">
        <v>18299.3</v>
      </c>
      <c r="H108" s="29">
        <f>$D:$D/$G:$G*100</f>
        <v>110.72415043198376</v>
      </c>
      <c r="I108" s="36">
        <f>D108-Январь!D108</f>
        <v>16617.24446</v>
      </c>
    </row>
    <row r="109" spans="1:9" ht="25.5">
      <c r="A109" s="11" t="s">
        <v>46</v>
      </c>
      <c r="B109" s="35">
        <f>B110+B111</f>
        <v>281596.454</v>
      </c>
      <c r="C109" s="35">
        <f>C110+C111</f>
        <v>15901.63249</v>
      </c>
      <c r="D109" s="35">
        <f>D110+D111</f>
        <v>14619.80097</v>
      </c>
      <c r="E109" s="26">
        <f>$D:$D/$B:$B*100</f>
        <v>5.1917560616725655</v>
      </c>
      <c r="F109" s="26">
        <f>$D:$D/$C:$C*100</f>
        <v>91.93899418310603</v>
      </c>
      <c r="G109" s="35">
        <f>G110+G111</f>
        <v>13421.199999999999</v>
      </c>
      <c r="H109" s="26">
        <f>$D:$D/$G:$G*100</f>
        <v>108.93065426340418</v>
      </c>
      <c r="I109" s="35">
        <f>D109-Январь!D109</f>
        <v>11222.80097</v>
      </c>
    </row>
    <row r="110" spans="1:9" ht="12.75">
      <c r="A110" s="8" t="s">
        <v>47</v>
      </c>
      <c r="B110" s="36">
        <f>196946894/1000</f>
        <v>196946.894</v>
      </c>
      <c r="C110" s="28">
        <f>15546124.57/1000</f>
        <v>15546.12457</v>
      </c>
      <c r="D110" s="28">
        <f>14346506/1000</f>
        <v>14346.506</v>
      </c>
      <c r="E110" s="29">
        <f>$D:$D/$B:$B*100</f>
        <v>7.284454051862325</v>
      </c>
      <c r="F110" s="29">
        <f>$D:$D/$C:$C*100</f>
        <v>92.28348798699996</v>
      </c>
      <c r="G110" s="36">
        <v>13061.8</v>
      </c>
      <c r="H110" s="29">
        <f>$D:$D/$G:$G*100</f>
        <v>109.83559693151021</v>
      </c>
      <c r="I110" s="36">
        <f>D110-Январь!D110</f>
        <v>11006.506</v>
      </c>
    </row>
    <row r="111" spans="1:9" ht="25.5">
      <c r="A111" s="8" t="s">
        <v>48</v>
      </c>
      <c r="B111" s="36">
        <f>84649560/1000</f>
        <v>84649.56</v>
      </c>
      <c r="C111" s="28">
        <f>355507.92/1000</f>
        <v>355.50791999999996</v>
      </c>
      <c r="D111" s="28">
        <f>273294.97/1000</f>
        <v>273.29497</v>
      </c>
      <c r="E111" s="29">
        <f>$D:$D/$B:$B*100</f>
        <v>0.32285456652107813</v>
      </c>
      <c r="F111" s="29">
        <f>$D:$D/$C:$C*100</f>
        <v>76.8745095749203</v>
      </c>
      <c r="G111" s="36">
        <v>359.4</v>
      </c>
      <c r="H111" s="29">
        <v>0</v>
      </c>
      <c r="I111" s="36">
        <f>D111-Январь!D111</f>
        <v>216.29496999999998</v>
      </c>
    </row>
    <row r="112" spans="1:9" ht="12.75">
      <c r="A112" s="11" t="s">
        <v>97</v>
      </c>
      <c r="B112" s="35">
        <f>B113</f>
        <v>158.13</v>
      </c>
      <c r="C112" s="35">
        <f>C113</f>
        <v>0</v>
      </c>
      <c r="D112" s="35">
        <f>D113</f>
        <v>0</v>
      </c>
      <c r="E112" s="26">
        <f>$D:$D/$B:$B*100</f>
        <v>0</v>
      </c>
      <c r="F112" s="26">
        <v>0</v>
      </c>
      <c r="G112" s="35">
        <f>G113</f>
        <v>0</v>
      </c>
      <c r="H112" s="26">
        <v>0</v>
      </c>
      <c r="I112" s="35">
        <f>D112-Январь!D112</f>
        <v>0</v>
      </c>
    </row>
    <row r="113" spans="1:9" ht="12.75">
      <c r="A113" s="8" t="s">
        <v>98</v>
      </c>
      <c r="B113" s="36">
        <f>158130/1000</f>
        <v>158.13</v>
      </c>
      <c r="C113" s="36">
        <v>0</v>
      </c>
      <c r="D113" s="36">
        <v>0</v>
      </c>
      <c r="E113" s="29">
        <f>$D:$D/$B:$B*100</f>
        <v>0</v>
      </c>
      <c r="F113" s="29">
        <v>0</v>
      </c>
      <c r="G113" s="36">
        <v>0</v>
      </c>
      <c r="H113" s="29">
        <v>0</v>
      </c>
      <c r="I113" s="36">
        <f>D113-Январь!D113</f>
        <v>0</v>
      </c>
    </row>
    <row r="114" spans="1:9" ht="12.75">
      <c r="A114" s="11" t="s">
        <v>49</v>
      </c>
      <c r="B114" s="35">
        <f>B115+B116+B117+B118</f>
        <v>176555.7547</v>
      </c>
      <c r="C114" s="35">
        <f>SUM(C115:C118)</f>
        <v>9107.6837</v>
      </c>
      <c r="D114" s="35">
        <f>D115++D116+D117+D118</f>
        <v>8758.95276</v>
      </c>
      <c r="E114" s="26">
        <f>$D:$D/$B:$B*100</f>
        <v>4.961012330004784</v>
      </c>
      <c r="F114" s="26">
        <f>$D:$D/$C:$C*100</f>
        <v>96.17102491163588</v>
      </c>
      <c r="G114" s="35">
        <f>G115++G116+G117+G118</f>
        <v>6395.499999999999</v>
      </c>
      <c r="H114" s="26">
        <v>0</v>
      </c>
      <c r="I114" s="35">
        <f>I115+I116+I117+I118</f>
        <v>6886.56276</v>
      </c>
    </row>
    <row r="115" spans="1:9" ht="12.75">
      <c r="A115" s="8" t="s">
        <v>50</v>
      </c>
      <c r="B115" s="36">
        <f>2909750/1000</f>
        <v>2909.75</v>
      </c>
      <c r="C115" s="36">
        <f>224988.7/1000</f>
        <v>224.98870000000002</v>
      </c>
      <c r="D115" s="36">
        <f>210984.05/1000</f>
        <v>210.98405</v>
      </c>
      <c r="E115" s="29">
        <f>$D:$D/$B:$B*100</f>
        <v>7.250933929031704</v>
      </c>
      <c r="F115" s="29">
        <v>0</v>
      </c>
      <c r="G115" s="36">
        <v>231.7</v>
      </c>
      <c r="H115" s="29">
        <v>0</v>
      </c>
      <c r="I115" s="36">
        <f>D115-Январь!D115</f>
        <v>210.98405</v>
      </c>
    </row>
    <row r="116" spans="1:9" ht="12.75">
      <c r="A116" s="8" t="s">
        <v>52</v>
      </c>
      <c r="B116" s="36">
        <f>87342751.7/1000</f>
        <v>87342.75170000001</v>
      </c>
      <c r="C116" s="28">
        <f>7887000/1000</f>
        <v>7887</v>
      </c>
      <c r="D116" s="28">
        <f>7887000/1000</f>
        <v>7887</v>
      </c>
      <c r="E116" s="29">
        <f>$D:$D/$B:$B*100</f>
        <v>9.029942206412073</v>
      </c>
      <c r="F116" s="29">
        <f>$D:$D/$C:$C*100</f>
        <v>100</v>
      </c>
      <c r="G116" s="36">
        <v>5302.7</v>
      </c>
      <c r="H116" s="29">
        <v>0</v>
      </c>
      <c r="I116" s="36">
        <f>D116-Январь!D117</f>
        <v>6300</v>
      </c>
    </row>
    <row r="117" spans="1:9" ht="12.75">
      <c r="A117" s="8" t="s">
        <v>53</v>
      </c>
      <c r="B117" s="28">
        <f>84166253/1000</f>
        <v>84166.253</v>
      </c>
      <c r="C117" s="28">
        <f>629455/1000</f>
        <v>629.455</v>
      </c>
      <c r="D117" s="28">
        <f>512684.83/1000</f>
        <v>512.68483</v>
      </c>
      <c r="E117" s="29">
        <f>$D:$D/$B:$B*100</f>
        <v>0.6091334848897219</v>
      </c>
      <c r="F117" s="29">
        <v>0</v>
      </c>
      <c r="G117" s="28">
        <v>623.4</v>
      </c>
      <c r="H117" s="29">
        <v>0</v>
      </c>
      <c r="I117" s="36">
        <f>D117-Январь!D118</f>
        <v>257.29483000000005</v>
      </c>
    </row>
    <row r="118" spans="1:9" ht="12.75">
      <c r="A118" s="8" t="s">
        <v>54</v>
      </c>
      <c r="B118" s="36">
        <f>2137000/1000</f>
        <v>2137</v>
      </c>
      <c r="C118" s="28">
        <f>366240/1000</f>
        <v>366.24</v>
      </c>
      <c r="D118" s="28">
        <f>148283.88/1000</f>
        <v>148.28388</v>
      </c>
      <c r="E118" s="29">
        <f>$D:$D/$B:$B*100</f>
        <v>6.938880673841835</v>
      </c>
      <c r="F118" s="29">
        <f>$D:$D/$C:$C*100</f>
        <v>40.48817169069463</v>
      </c>
      <c r="G118" s="36">
        <v>237.7</v>
      </c>
      <c r="H118" s="29">
        <f>$D:$D/$G:$G*100</f>
        <v>62.38278502313842</v>
      </c>
      <c r="I118" s="36">
        <f>D118-Январь!D119</f>
        <v>118.28388000000001</v>
      </c>
    </row>
    <row r="119" spans="1:9" ht="12.75">
      <c r="A119" s="11" t="s">
        <v>61</v>
      </c>
      <c r="B119" s="27">
        <f>B120+B121+B122</f>
        <v>210722.454</v>
      </c>
      <c r="C119" s="28">
        <f>C120+C121+C122</f>
        <v>10852.91095</v>
      </c>
      <c r="D119" s="28">
        <f>D120+D121+D122</f>
        <v>10623.72898</v>
      </c>
      <c r="E119" s="26">
        <f>$D:$D/$B:$B*100</f>
        <v>5.04157425007968</v>
      </c>
      <c r="F119" s="26">
        <f>$D:$D/$C:$C*100</f>
        <v>97.88829033007039</v>
      </c>
      <c r="G119" s="27">
        <f>G120+G121+G122</f>
        <v>10129.5</v>
      </c>
      <c r="H119" s="26">
        <f>$D:$D/$G:$G*100</f>
        <v>104.87910538526086</v>
      </c>
      <c r="I119" s="35">
        <f>I120+I121+I122</f>
        <v>6771.508979999999</v>
      </c>
    </row>
    <row r="120" spans="1:9" ht="12.75">
      <c r="A120" s="41" t="s">
        <v>62</v>
      </c>
      <c r="B120" s="28">
        <f>99648015.86/1000</f>
        <v>99648.01586</v>
      </c>
      <c r="C120" s="28">
        <f>9797772.93/1000</f>
        <v>9797.77293</v>
      </c>
      <c r="D120" s="28">
        <f>9797772.85/1000</f>
        <v>9797.77285</v>
      </c>
      <c r="E120" s="29">
        <f>$D:$D/$B:$B*100</f>
        <v>9.832381272664108</v>
      </c>
      <c r="F120" s="29">
        <f>$D:$D/$C:$C*100</f>
        <v>99.99999918348792</v>
      </c>
      <c r="G120" s="28">
        <v>8987.2</v>
      </c>
      <c r="H120" s="29">
        <v>0</v>
      </c>
      <c r="I120" s="36">
        <f>D120-Январь!D121</f>
        <v>6117.332849999999</v>
      </c>
    </row>
    <row r="121" spans="1:9" ht="24.75" customHeight="1">
      <c r="A121" s="12" t="s">
        <v>63</v>
      </c>
      <c r="B121" s="28">
        <f>106942468.14/1000</f>
        <v>106942.46814</v>
      </c>
      <c r="C121" s="28">
        <f>372490.14/1000</f>
        <v>372.49014</v>
      </c>
      <c r="D121" s="28">
        <f>372490.14/1000</f>
        <v>372.49014</v>
      </c>
      <c r="E121" s="29">
        <v>0</v>
      </c>
      <c r="F121" s="29">
        <v>0</v>
      </c>
      <c r="G121" s="28">
        <v>512.8</v>
      </c>
      <c r="H121" s="29">
        <v>0</v>
      </c>
      <c r="I121" s="36">
        <f>D121-Январь!D122</f>
        <v>281.49014</v>
      </c>
    </row>
    <row r="122" spans="1:9" ht="25.5">
      <c r="A122" s="12" t="s">
        <v>73</v>
      </c>
      <c r="B122" s="28">
        <f>4131970/1000</f>
        <v>4131.97</v>
      </c>
      <c r="C122" s="28">
        <f>682647.88/1000</f>
        <v>682.64788</v>
      </c>
      <c r="D122" s="28">
        <f>453465.99/1000</f>
        <v>453.46599</v>
      </c>
      <c r="E122" s="29">
        <f>$D:$D/$B:$B*100</f>
        <v>10.974571209374703</v>
      </c>
      <c r="F122" s="29">
        <f>$D:$D/$C:$C*100</f>
        <v>66.42751018284858</v>
      </c>
      <c r="G122" s="28">
        <v>629.5</v>
      </c>
      <c r="H122" s="29">
        <v>0</v>
      </c>
      <c r="I122" s="36">
        <f>D122-Январь!D123</f>
        <v>372.68598999999995</v>
      </c>
    </row>
    <row r="123" spans="1:9" ht="26.25" customHeight="1">
      <c r="A123" s="13" t="s">
        <v>80</v>
      </c>
      <c r="B123" s="27">
        <f>B124</f>
        <v>100</v>
      </c>
      <c r="C123" s="27">
        <f>C124</f>
        <v>2.01384</v>
      </c>
      <c r="D123" s="27">
        <f>D124</f>
        <v>2.01384</v>
      </c>
      <c r="E123" s="29">
        <f>$D:$D/$B:$B*100</f>
        <v>2.01384</v>
      </c>
      <c r="F123" s="29">
        <v>0</v>
      </c>
      <c r="G123" s="27">
        <f>G124</f>
        <v>0</v>
      </c>
      <c r="H123" s="29">
        <v>0</v>
      </c>
      <c r="I123" s="35">
        <f>D123-Январь!D124</f>
        <v>2.01384</v>
      </c>
    </row>
    <row r="124" spans="1:9" ht="13.5" customHeight="1">
      <c r="A124" s="12" t="s">
        <v>81</v>
      </c>
      <c r="B124" s="28">
        <v>100</v>
      </c>
      <c r="C124" s="81">
        <f>2013.84/1000</f>
        <v>2.01384</v>
      </c>
      <c r="D124" s="81">
        <f>2013.84/1000</f>
        <v>2.01384</v>
      </c>
      <c r="E124" s="29">
        <f>$D:$D/$B:$B*100</f>
        <v>2.01384</v>
      </c>
      <c r="F124" s="29">
        <v>0</v>
      </c>
      <c r="G124" s="28">
        <v>0</v>
      </c>
      <c r="H124" s="29">
        <v>0</v>
      </c>
      <c r="I124" s="36">
        <f>D124-Январь!D124</f>
        <v>2.01384</v>
      </c>
    </row>
    <row r="125" spans="1:9" ht="15.75" customHeight="1">
      <c r="A125" s="14" t="s">
        <v>55</v>
      </c>
      <c r="B125" s="35">
        <f>B78+B87+B88+B89+B95+B102+B109+B112+B114+B119+B123+B100</f>
        <v>3184127.3692900003</v>
      </c>
      <c r="C125" s="35">
        <f>C78+C87+C88+C89+C95+C102+C109+C112+C114+C119+C123+C100</f>
        <v>252980.22207</v>
      </c>
      <c r="D125" s="35">
        <f>D78+D87+D88+D89+D95+D102+D109+D112+D114+D119+D123+D100</f>
        <v>242942.72780000002</v>
      </c>
      <c r="E125" s="26">
        <f>$D:$D/$B:$B*100</f>
        <v>7.629805583253776</v>
      </c>
      <c r="F125" s="26">
        <f>$D:$D/$C:$C*100</f>
        <v>96.03230079099916</v>
      </c>
      <c r="G125" s="35">
        <f>G78+G87+G88+G89+G95+G102+G109+G112+G114+G119+G123+G100</f>
        <v>228271.2</v>
      </c>
      <c r="H125" s="26">
        <f>$D:$D/$G:$G*100</f>
        <v>106.4272355864428</v>
      </c>
      <c r="I125" s="35">
        <f>D125-Январь!D126</f>
        <v>182784.95780000003</v>
      </c>
    </row>
    <row r="126" spans="1:9" ht="26.25" customHeight="1">
      <c r="A126" s="15" t="s">
        <v>56</v>
      </c>
      <c r="B126" s="30">
        <f>B72-B125</f>
        <v>-74025.13252000045</v>
      </c>
      <c r="C126" s="30">
        <f>C72-C125</f>
        <v>41824.986060000054</v>
      </c>
      <c r="D126" s="30">
        <f>D72-D125</f>
        <v>52519.868679999985</v>
      </c>
      <c r="E126" s="30"/>
      <c r="F126" s="30"/>
      <c r="G126" s="30">
        <f>G70-G125</f>
        <v>-228271.2</v>
      </c>
      <c r="H126" s="30"/>
      <c r="I126" s="35">
        <f>D126-Январь!D127</f>
        <v>51879.66189999998</v>
      </c>
    </row>
    <row r="127" spans="1:9" ht="24" customHeight="1">
      <c r="A127" s="1" t="s">
        <v>57</v>
      </c>
      <c r="B127" s="28" t="s">
        <v>165</v>
      </c>
      <c r="C127" s="28"/>
      <c r="D127" s="28" t="s">
        <v>157</v>
      </c>
      <c r="E127" s="28"/>
      <c r="F127" s="28"/>
      <c r="G127" s="28" t="s">
        <v>156</v>
      </c>
      <c r="H127" s="27"/>
      <c r="I127" s="28"/>
    </row>
    <row r="128" spans="1:9" ht="12.75">
      <c r="A128" s="3" t="s">
        <v>58</v>
      </c>
      <c r="B128" s="43">
        <f>B130+B131</f>
        <v>42871.7</v>
      </c>
      <c r="C128" s="43"/>
      <c r="D128" s="43">
        <f>D130+D131</f>
        <v>83341.6</v>
      </c>
      <c r="E128" s="28"/>
      <c r="F128" s="28"/>
      <c r="G128" s="27">
        <f>G130+G131</f>
        <v>36272.2</v>
      </c>
      <c r="H128" s="37"/>
      <c r="I128" s="28">
        <f>D128</f>
        <v>83341.6</v>
      </c>
    </row>
    <row r="129" spans="1:9" ht="12" customHeight="1">
      <c r="A129" s="1" t="s">
        <v>6</v>
      </c>
      <c r="B129" s="44"/>
      <c r="C129" s="28"/>
      <c r="D129" s="28"/>
      <c r="E129" s="28"/>
      <c r="F129" s="28"/>
      <c r="G129" s="28"/>
      <c r="H129" s="37"/>
      <c r="I129" s="28"/>
    </row>
    <row r="130" spans="1:9" ht="12.75">
      <c r="A130" s="5" t="s">
        <v>59</v>
      </c>
      <c r="B130" s="44">
        <f>Январь!B131</f>
        <v>24892.3</v>
      </c>
      <c r="C130" s="28"/>
      <c r="D130" s="28">
        <v>3594.5</v>
      </c>
      <c r="E130" s="28"/>
      <c r="F130" s="28"/>
      <c r="G130" s="28">
        <v>7051.7</v>
      </c>
      <c r="H130" s="37"/>
      <c r="I130" s="28">
        <f>D130</f>
        <v>3594.5</v>
      </c>
    </row>
    <row r="131" spans="1:9" ht="12.75">
      <c r="A131" s="1" t="s">
        <v>60</v>
      </c>
      <c r="B131" s="44">
        <f>Январь!B132</f>
        <v>17979.4</v>
      </c>
      <c r="C131" s="28"/>
      <c r="D131" s="28">
        <f>83341.6-3594.5</f>
        <v>79747.1</v>
      </c>
      <c r="E131" s="28"/>
      <c r="F131" s="28"/>
      <c r="G131" s="28">
        <f>36272.2-G130</f>
        <v>29220.499999999996</v>
      </c>
      <c r="H131" s="37"/>
      <c r="I131" s="28">
        <f>D131</f>
        <v>79747.1</v>
      </c>
    </row>
    <row r="132" spans="1:9" ht="12.75">
      <c r="A132" s="3" t="s">
        <v>99</v>
      </c>
      <c r="B132" s="43">
        <f>B133-B134</f>
        <v>64460</v>
      </c>
      <c r="C132" s="43"/>
      <c r="D132" s="43">
        <f>D133-D134</f>
        <v>-12050</v>
      </c>
      <c r="E132" s="40"/>
      <c r="F132" s="40"/>
      <c r="G132" s="40">
        <v>0</v>
      </c>
      <c r="H132" s="42"/>
      <c r="I132" s="40"/>
    </row>
    <row r="133" spans="1:9" ht="12.75">
      <c r="A133" s="2" t="s">
        <v>100</v>
      </c>
      <c r="B133" s="44">
        <v>98076.83</v>
      </c>
      <c r="C133" s="38"/>
      <c r="D133" s="38">
        <v>0</v>
      </c>
      <c r="E133" s="38"/>
      <c r="F133" s="38"/>
      <c r="G133" s="38">
        <v>0</v>
      </c>
      <c r="H133" s="39"/>
      <c r="I133" s="38">
        <v>0</v>
      </c>
    </row>
    <row r="134" spans="1:9" ht="12.75">
      <c r="A134" s="2" t="s">
        <v>101</v>
      </c>
      <c r="B134" s="44">
        <v>33616.83</v>
      </c>
      <c r="C134" s="38"/>
      <c r="D134" s="28">
        <v>12050</v>
      </c>
      <c r="E134" s="38"/>
      <c r="F134" s="38"/>
      <c r="G134" s="38">
        <v>0</v>
      </c>
      <c r="H134" s="39"/>
      <c r="I134" s="38">
        <v>0</v>
      </c>
    </row>
    <row r="135" spans="1:9" ht="12.75">
      <c r="A135" s="16"/>
      <c r="B135" s="25"/>
      <c r="C135" s="25"/>
      <c r="D135" s="25"/>
      <c r="E135" s="25"/>
      <c r="F135" s="25"/>
      <c r="G135" s="25"/>
      <c r="H135" s="25"/>
      <c r="I135" s="25"/>
    </row>
    <row r="137" ht="12" customHeight="1">
      <c r="A137" s="22" t="s">
        <v>79</v>
      </c>
    </row>
    <row r="138" ht="12.75" customHeight="1" hidden="1"/>
    <row r="140" spans="1:9" ht="31.5">
      <c r="A140" s="17" t="s">
        <v>103</v>
      </c>
      <c r="B140" s="24"/>
      <c r="C140" s="24"/>
      <c r="D140" s="24" t="s">
        <v>137</v>
      </c>
      <c r="E140" s="24"/>
      <c r="F140" s="24"/>
      <c r="G140" s="24"/>
      <c r="H140" s="24"/>
      <c r="I140" s="25"/>
    </row>
  </sheetData>
  <sheetProtection/>
  <mergeCells count="5">
    <mergeCell ref="A1:H1"/>
    <mergeCell ref="A2:H2"/>
    <mergeCell ref="A3:H3"/>
    <mergeCell ref="A6:I6"/>
    <mergeCell ref="A77:I77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0"/>
  <sheetViews>
    <sheetView zoomScale="85" zoomScaleNormal="85" zoomScalePageLayoutView="0" workbookViewId="0" topLeftCell="A1">
      <pane xSplit="1" ySplit="6" topLeftCell="B10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30" sqref="H130"/>
    </sheetView>
  </sheetViews>
  <sheetFormatPr defaultColWidth="9.00390625" defaultRowHeight="12.75"/>
  <cols>
    <col min="1" max="1" width="44.875" style="22" customWidth="1"/>
    <col min="2" max="2" width="14.875" style="23" customWidth="1"/>
    <col min="3" max="3" width="13.125" style="23" customWidth="1"/>
    <col min="4" max="4" width="13.375" style="23" customWidth="1"/>
    <col min="5" max="5" width="12.75390625" style="23" customWidth="1"/>
    <col min="6" max="6" width="14.125" style="23" hidden="1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9" t="s">
        <v>102</v>
      </c>
      <c r="B1" s="89"/>
      <c r="C1" s="89"/>
      <c r="D1" s="89"/>
      <c r="E1" s="89"/>
      <c r="F1" s="89"/>
      <c r="G1" s="89"/>
      <c r="H1" s="89"/>
      <c r="I1" s="31"/>
    </row>
    <row r="2" spans="1:9" ht="15">
      <c r="A2" s="90" t="s">
        <v>159</v>
      </c>
      <c r="B2" s="90"/>
      <c r="C2" s="90"/>
      <c r="D2" s="90"/>
      <c r="E2" s="90"/>
      <c r="F2" s="90"/>
      <c r="G2" s="90"/>
      <c r="H2" s="90"/>
      <c r="I2" s="32"/>
    </row>
    <row r="3" spans="1:9" ht="5.25" customHeight="1" hidden="1">
      <c r="A3" s="91" t="s">
        <v>0</v>
      </c>
      <c r="B3" s="91"/>
      <c r="C3" s="91"/>
      <c r="D3" s="91"/>
      <c r="E3" s="91"/>
      <c r="F3" s="91"/>
      <c r="G3" s="91"/>
      <c r="H3" s="91"/>
      <c r="I3" s="33"/>
    </row>
    <row r="4" spans="1:9" ht="45" customHeight="1">
      <c r="A4" s="4" t="s">
        <v>1</v>
      </c>
      <c r="B4" s="18" t="s">
        <v>2</v>
      </c>
      <c r="C4" s="18" t="s">
        <v>158</v>
      </c>
      <c r="D4" s="18" t="s">
        <v>68</v>
      </c>
      <c r="E4" s="18" t="s">
        <v>66</v>
      </c>
      <c r="F4" s="18" t="s">
        <v>69</v>
      </c>
      <c r="G4" s="18" t="s">
        <v>152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2" t="s">
        <v>3</v>
      </c>
      <c r="B6" s="93"/>
      <c r="C6" s="93"/>
      <c r="D6" s="93"/>
      <c r="E6" s="93"/>
      <c r="F6" s="93"/>
      <c r="G6" s="93"/>
      <c r="H6" s="93"/>
      <c r="I6" s="94"/>
    </row>
    <row r="7" spans="1:9" ht="12.75">
      <c r="A7" s="51" t="s">
        <v>104</v>
      </c>
      <c r="B7" s="35">
        <f>B8+B16+B21+B26+B29+B36+B45+B46+B47+B51+B62</f>
        <v>673452.6</v>
      </c>
      <c r="C7" s="35">
        <f>C8+C16+C21+C26+C29+C36+C45+C46+C47+C51+C62</f>
        <v>177015.27240000002</v>
      </c>
      <c r="D7" s="35">
        <f>D8+D16+D21+D26+D29+D36+D45+D46+D47+D51+D62</f>
        <v>170232.49980000005</v>
      </c>
      <c r="E7" s="26">
        <f>$D:$D/$B:$B*100</f>
        <v>25.277577041056798</v>
      </c>
      <c r="F7" s="26">
        <v>27699.089999999997</v>
      </c>
      <c r="G7" s="35">
        <f>G8+G15+G20+G24+G27+G31+G34+G43+G44+G45+G49+G60</f>
        <v>65130.18</v>
      </c>
      <c r="H7" s="26">
        <v>96.62342697900908</v>
      </c>
      <c r="I7" s="35">
        <f>D7-Февраль!D7</f>
        <v>56759.82332000004</v>
      </c>
    </row>
    <row r="8" spans="1:9" ht="12.75">
      <c r="A8" s="52" t="s">
        <v>4</v>
      </c>
      <c r="B8" s="26">
        <f>B9+B10</f>
        <v>340235.9</v>
      </c>
      <c r="C8" s="26">
        <f>C9+C10</f>
        <v>115931.95000000001</v>
      </c>
      <c r="D8" s="26">
        <f>D9+D10</f>
        <v>110052.13650000001</v>
      </c>
      <c r="E8" s="26">
        <f>$D:$D/$B:$B*100</f>
        <v>32.34583314106477</v>
      </c>
      <c r="F8" s="26">
        <v>10645.39</v>
      </c>
      <c r="G8" s="26">
        <f>G9+G10</f>
        <v>62680.98999999999</v>
      </c>
      <c r="H8" s="26">
        <v>97.3363117743925</v>
      </c>
      <c r="I8" s="35">
        <f>D8-Февраль!D8</f>
        <v>24849.908630000005</v>
      </c>
    </row>
    <row r="9" spans="1:9" ht="25.5">
      <c r="A9" s="53" t="s">
        <v>5</v>
      </c>
      <c r="B9" s="27">
        <f>8446300/1000</f>
        <v>8446.3</v>
      </c>
      <c r="C9" s="27">
        <f>3000000/1000</f>
        <v>3000</v>
      </c>
      <c r="D9" s="27">
        <f>2018091.26/1000</f>
        <v>2018.09126</v>
      </c>
      <c r="E9" s="26">
        <f>$D:$D/$B:$B*100</f>
        <v>23.89319891550146</v>
      </c>
      <c r="F9" s="26">
        <v>200.86</v>
      </c>
      <c r="G9" s="27">
        <v>3677.86</v>
      </c>
      <c r="H9" s="26">
        <v>232.3508911679777</v>
      </c>
      <c r="I9" s="35">
        <f>D9-Февраль!D9</f>
        <v>1209.89226</v>
      </c>
    </row>
    <row r="10" spans="1:9" ht="12.75" customHeight="1">
      <c r="A10" s="54" t="s">
        <v>70</v>
      </c>
      <c r="B10" s="46">
        <f>SUM(B11:B15)</f>
        <v>331789.60000000003</v>
      </c>
      <c r="C10" s="46">
        <f>SUM(C11:C15)</f>
        <v>112931.95000000001</v>
      </c>
      <c r="D10" s="46">
        <f>SUM(D11:D15)</f>
        <v>108034.04524</v>
      </c>
      <c r="E10" s="26">
        <f>$D:$D/$B:$B*100</f>
        <v>32.56101012207736</v>
      </c>
      <c r="F10" s="26">
        <v>10444.529999999999</v>
      </c>
      <c r="G10" s="46">
        <f>G11+G12+G13+G14</f>
        <v>59003.12999999999</v>
      </c>
      <c r="H10" s="47">
        <v>94.7398303226665</v>
      </c>
      <c r="I10" s="35">
        <f>D10-Февраль!D10</f>
        <v>23640.016369999998</v>
      </c>
    </row>
    <row r="11" spans="1:9" ht="63.75">
      <c r="A11" s="56" t="s">
        <v>74</v>
      </c>
      <c r="B11" s="28">
        <f>316825700/1000</f>
        <v>316825.7</v>
      </c>
      <c r="C11" s="28">
        <v>65473.57</v>
      </c>
      <c r="D11" s="28">
        <f>59420453.9/1000</f>
        <v>59420.4539</v>
      </c>
      <c r="E11" s="26">
        <f>$D:$D/$B:$B*100</f>
        <v>18.754934937411956</v>
      </c>
      <c r="F11" s="26">
        <v>10058</v>
      </c>
      <c r="G11" s="28">
        <v>57699.56999999999</v>
      </c>
      <c r="H11" s="26">
        <v>96.26963611055875</v>
      </c>
      <c r="I11" s="35">
        <f>D11-Февраль!D11</f>
        <v>22295.59399</v>
      </c>
    </row>
    <row r="12" spans="1:9" ht="94.5" customHeight="1">
      <c r="A12" s="56" t="s">
        <v>75</v>
      </c>
      <c r="B12" s="28">
        <f>6481500/1000</f>
        <v>6481.5</v>
      </c>
      <c r="C12" s="28">
        <f>241100/1000</f>
        <v>241.1</v>
      </c>
      <c r="D12" s="28">
        <f>115505.25/1000</f>
        <v>115.50525</v>
      </c>
      <c r="E12" s="26">
        <f>$D:$D/$B:$B*100</f>
        <v>1.7820759083545474</v>
      </c>
      <c r="F12" s="26">
        <v>81.56</v>
      </c>
      <c r="G12" s="28">
        <v>157.17</v>
      </c>
      <c r="H12" s="26">
        <v>54.54879843060324</v>
      </c>
      <c r="I12" s="35">
        <f>D12-Февраль!D12</f>
        <v>35.90173</v>
      </c>
    </row>
    <row r="13" spans="1:9" ht="25.5">
      <c r="A13" s="56" t="s">
        <v>76</v>
      </c>
      <c r="B13" s="28">
        <f>3576400/1000</f>
        <v>3576.4</v>
      </c>
      <c r="C13" s="28">
        <v>437</v>
      </c>
      <c r="D13" s="28">
        <f>1130172.48/1000</f>
        <v>1130.17248</v>
      </c>
      <c r="E13" s="26">
        <f>$D:$D/$B:$B*100</f>
        <v>31.600841069231628</v>
      </c>
      <c r="F13" s="26">
        <v>117.15</v>
      </c>
      <c r="G13" s="28">
        <v>309.3</v>
      </c>
      <c r="H13" s="26">
        <v>38.01109688433632</v>
      </c>
      <c r="I13" s="35">
        <f>D13-Февраль!D13</f>
        <v>629.2444699999999</v>
      </c>
    </row>
    <row r="14" spans="1:9" ht="63.75">
      <c r="A14" s="56" t="s">
        <v>78</v>
      </c>
      <c r="B14" s="28">
        <f>2580100/1000</f>
        <v>2580.1</v>
      </c>
      <c r="C14" s="28">
        <f>533300/1000</f>
        <v>533.3</v>
      </c>
      <c r="D14" s="28">
        <f>806020.05/1000</f>
        <v>806.0200500000001</v>
      </c>
      <c r="E14" s="26">
        <f>$D:$D/$B:$B*100</f>
        <v>31.23987636138135</v>
      </c>
      <c r="F14" s="26">
        <v>187.82</v>
      </c>
      <c r="G14" s="28">
        <v>837.0899999999999</v>
      </c>
      <c r="H14" s="26">
        <v>64.24235970610158</v>
      </c>
      <c r="I14" s="35">
        <f>D14-Февраль!D14</f>
        <v>364.3647000000001</v>
      </c>
    </row>
    <row r="15" spans="1:9" ht="37.5" customHeight="1">
      <c r="A15" s="56" t="s">
        <v>145</v>
      </c>
      <c r="B15" s="36">
        <f>2325900/1000</f>
        <v>2325.9</v>
      </c>
      <c r="C15" s="36">
        <v>46246.98</v>
      </c>
      <c r="D15" s="36">
        <f>46561893.56/1000</f>
        <v>46561.893560000004</v>
      </c>
      <c r="E15" s="26">
        <f>$D:$D/$B:$B*100</f>
        <v>2001.8871645384581</v>
      </c>
      <c r="F15" s="26"/>
      <c r="G15" s="35">
        <v>0</v>
      </c>
      <c r="H15" s="26">
        <v>0</v>
      </c>
      <c r="I15" s="35">
        <f>D15-Февраль!D15</f>
        <v>314.9114800000025</v>
      </c>
    </row>
    <row r="16" spans="1:9" ht="39.75" customHeight="1">
      <c r="A16" s="58" t="s">
        <v>82</v>
      </c>
      <c r="B16" s="27">
        <f>SUM(B17:B20)</f>
        <v>55588.03</v>
      </c>
      <c r="C16" s="27">
        <f>SUM(C17:C20)</f>
        <v>12242.11</v>
      </c>
      <c r="D16" s="27">
        <f>SUM(D17:D20)</f>
        <v>14336.207300000002</v>
      </c>
      <c r="E16" s="26">
        <f>$D:$D/$B:$B*100</f>
        <v>25.79009779623419</v>
      </c>
      <c r="F16" s="26">
        <v>1853.18</v>
      </c>
      <c r="G16" s="35">
        <f>G17+G18+G19+G20</f>
        <v>5160.460000000001</v>
      </c>
      <c r="H16" s="26">
        <v>99.62874626318005</v>
      </c>
      <c r="I16" s="35">
        <f>D16-Февраль!D16</f>
        <v>9129.618870000002</v>
      </c>
    </row>
    <row r="17" spans="1:9" ht="37.5" customHeight="1">
      <c r="A17" s="39" t="s">
        <v>83</v>
      </c>
      <c r="B17" s="84">
        <f>25133060/1000</f>
        <v>25133.06</v>
      </c>
      <c r="C17" s="84">
        <f>5429200/1000</f>
        <v>5429.2</v>
      </c>
      <c r="D17" s="84">
        <f>6885031.15/1000</f>
        <v>6885.031150000001</v>
      </c>
      <c r="E17" s="26">
        <f>$D:$D/$B:$B*100</f>
        <v>27.39432106556066</v>
      </c>
      <c r="F17" s="26">
        <v>844.23</v>
      </c>
      <c r="G17" s="28">
        <v>2341.92</v>
      </c>
      <c r="H17" s="26">
        <v>100.44656077135376</v>
      </c>
      <c r="I17" s="35">
        <f>D17-Февраль!D17</f>
        <v>4448.680470000001</v>
      </c>
    </row>
    <row r="18" spans="1:9" ht="56.25" customHeight="1">
      <c r="A18" s="39" t="s">
        <v>84</v>
      </c>
      <c r="B18" s="84">
        <f>139120/1000</f>
        <v>139.12</v>
      </c>
      <c r="C18" s="84">
        <f>35390/1000</f>
        <v>35.39</v>
      </c>
      <c r="D18" s="84">
        <f>44117.58/1000</f>
        <v>44.117580000000004</v>
      </c>
      <c r="E18" s="26">
        <f>$D:$D/$B:$B*100</f>
        <v>31.711889016676253</v>
      </c>
      <c r="F18" s="26">
        <v>5.74</v>
      </c>
      <c r="G18" s="28">
        <v>15.27</v>
      </c>
      <c r="H18" s="26">
        <v>87.10801393728222</v>
      </c>
      <c r="I18" s="35">
        <f>D18-Февраль!D18</f>
        <v>27.41525</v>
      </c>
    </row>
    <row r="19" spans="1:9" ht="55.5" customHeight="1">
      <c r="A19" s="39" t="s">
        <v>85</v>
      </c>
      <c r="B19" s="84">
        <f>33467400/1000</f>
        <v>33467.4</v>
      </c>
      <c r="C19" s="84">
        <f>7697900/1000</f>
        <v>7697.9</v>
      </c>
      <c r="D19" s="84">
        <f>8330774.04/1000</f>
        <v>8330.77404</v>
      </c>
      <c r="E19" s="26">
        <f>$D:$D/$B:$B*100</f>
        <v>24.892205668800084</v>
      </c>
      <c r="F19" s="26">
        <v>1158.41</v>
      </c>
      <c r="G19" s="28">
        <v>3287.01</v>
      </c>
      <c r="H19" s="26">
        <v>98.22170043421585</v>
      </c>
      <c r="I19" s="35">
        <f>D19-Февраль!D19</f>
        <v>5326.80911</v>
      </c>
    </row>
    <row r="20" spans="1:9" ht="15.75" customHeight="1">
      <c r="A20" s="39" t="s">
        <v>86</v>
      </c>
      <c r="B20" s="84">
        <f>-3151550/1000</f>
        <v>-3151.55</v>
      </c>
      <c r="C20" s="84">
        <f>-920380/1000</f>
        <v>-920.38</v>
      </c>
      <c r="D20" s="84">
        <f>-923715.47/1000</f>
        <v>-923.71547</v>
      </c>
      <c r="E20" s="26">
        <f>$D:$D/$B:$B*100</f>
        <v>29.309878313845566</v>
      </c>
      <c r="F20" s="26">
        <v>-155.2</v>
      </c>
      <c r="G20" s="28">
        <v>-483.74</v>
      </c>
      <c r="H20" s="26">
        <v>93.11211340206185</v>
      </c>
      <c r="I20" s="35">
        <f>D20-Февраль!D20</f>
        <v>-673.2859599999999</v>
      </c>
    </row>
    <row r="21" spans="1:9" ht="12.75">
      <c r="A21" s="59" t="s">
        <v>7</v>
      </c>
      <c r="B21" s="27">
        <f>SUM(B22:B25)</f>
        <v>134216.5</v>
      </c>
      <c r="C21" s="27">
        <f>SUM(C22:C25)</f>
        <v>25187.032890000002</v>
      </c>
      <c r="D21" s="27">
        <f>SUM(D22:D25)</f>
        <v>24687.845930000003</v>
      </c>
      <c r="E21" s="26">
        <f>$D:$D/$B:$B*100</f>
        <v>18.394046879482033</v>
      </c>
      <c r="F21" s="26">
        <v>7362.96</v>
      </c>
      <c r="G21" s="35">
        <f>G22+G23+G24+G25</f>
        <v>8556.83</v>
      </c>
      <c r="H21" s="26">
        <v>121.96888208003303</v>
      </c>
      <c r="I21" s="35">
        <f>D21-Февраль!D21</f>
        <v>14162.536400000005</v>
      </c>
    </row>
    <row r="22" spans="1:9" ht="28.5" customHeight="1">
      <c r="A22" s="56" t="s">
        <v>146</v>
      </c>
      <c r="B22" s="28">
        <f>110640700/1000</f>
        <v>110640.7</v>
      </c>
      <c r="C22" s="28">
        <f>17000000/1000</f>
        <v>17000</v>
      </c>
      <c r="D22" s="28">
        <f>16433323.62/1000</f>
        <v>16433.32362</v>
      </c>
      <c r="E22" s="26">
        <f>$D:$D/$B:$B*100</f>
        <v>14.852873870103858</v>
      </c>
      <c r="F22" s="26"/>
      <c r="G22" s="28">
        <v>0</v>
      </c>
      <c r="H22" s="26">
        <v>0</v>
      </c>
      <c r="I22" s="35">
        <f>D22-Февраль!D22</f>
        <v>8320.56877</v>
      </c>
    </row>
    <row r="23" spans="1:9" ht="19.5" customHeight="1">
      <c r="A23" s="56" t="s">
        <v>89</v>
      </c>
      <c r="B23" s="28">
        <v>0</v>
      </c>
      <c r="C23" s="28">
        <v>0</v>
      </c>
      <c r="D23" s="28">
        <f>67489.42/1000</f>
        <v>67.48942</v>
      </c>
      <c r="E23" s="26" t="e">
        <f>$D:$D/$B:$B*100</f>
        <v>#DIV/0!</v>
      </c>
      <c r="F23" s="26">
        <v>7198.75</v>
      </c>
      <c r="G23" s="28">
        <v>8200.54</v>
      </c>
      <c r="H23" s="26">
        <v>76.55204028477166</v>
      </c>
      <c r="I23" s="35">
        <f>D23-Февраль!D23</f>
        <v>75.26312</v>
      </c>
    </row>
    <row r="24" spans="1:9" ht="15" customHeight="1">
      <c r="A24" s="56" t="s">
        <v>87</v>
      </c>
      <c r="B24" s="36">
        <f>1245000/1000</f>
        <v>1245</v>
      </c>
      <c r="C24" s="36">
        <f>270118.75/1000</f>
        <v>270.11875</v>
      </c>
      <c r="D24" s="36">
        <f>270118.75/1000</f>
        <v>270.11875</v>
      </c>
      <c r="E24" s="26">
        <f>$D:$D/$B:$B*100</f>
        <v>21.696285140562246</v>
      </c>
      <c r="F24" s="26">
        <v>113.58</v>
      </c>
      <c r="G24" s="28">
        <v>122.23</v>
      </c>
      <c r="H24" s="26">
        <v>228.84310618066564</v>
      </c>
      <c r="I24" s="35">
        <f>D24-Февраль!D24</f>
        <v>142.40675</v>
      </c>
    </row>
    <row r="25" spans="1:9" ht="27" customHeight="1">
      <c r="A25" s="56" t="s">
        <v>88</v>
      </c>
      <c r="B25" s="28">
        <f>22330800/1000</f>
        <v>22330.8</v>
      </c>
      <c r="C25" s="28">
        <f>7916914.14/1000</f>
        <v>7916.91414</v>
      </c>
      <c r="D25" s="28">
        <f>7916914.14/1000</f>
        <v>7916.91414</v>
      </c>
      <c r="E25" s="26">
        <f>$D:$D/$B:$B*100</f>
        <v>35.45289080552421</v>
      </c>
      <c r="F25" s="26">
        <v>50.63</v>
      </c>
      <c r="G25" s="28">
        <v>234.06</v>
      </c>
      <c r="H25" s="26">
        <v>436.61860556982026</v>
      </c>
      <c r="I25" s="35">
        <f>D25-Февраль!D25</f>
        <v>5624.2977599999995</v>
      </c>
    </row>
    <row r="26" spans="1:9" ht="12.75">
      <c r="A26" s="59" t="s">
        <v>8</v>
      </c>
      <c r="B26" s="27">
        <f>SUM(B27:B28)</f>
        <v>42549</v>
      </c>
      <c r="C26" s="27">
        <f>SUM(C27:C28)</f>
        <v>4928.21943</v>
      </c>
      <c r="D26" s="27">
        <f>SUM(D27:D28)</f>
        <v>4871.59875</v>
      </c>
      <c r="E26" s="26">
        <f>$D:$D/$B:$B*100</f>
        <v>11.449384826905451</v>
      </c>
      <c r="F26" s="26">
        <v>2465.82</v>
      </c>
      <c r="G26" s="27">
        <v>4251.030000000001</v>
      </c>
      <c r="H26" s="26">
        <v>52.357025249207155</v>
      </c>
      <c r="I26" s="35">
        <f>D26-Февраль!D26</f>
        <v>1990.1935400000002</v>
      </c>
    </row>
    <row r="27" spans="1:9" ht="12.75">
      <c r="A27" s="56" t="s">
        <v>106</v>
      </c>
      <c r="B27" s="36">
        <f>25216900/1000</f>
        <v>25216.9</v>
      </c>
      <c r="C27" s="36">
        <f>2008973.14/1000</f>
        <v>2008.9731399999998</v>
      </c>
      <c r="D27" s="36">
        <f>2008973.14/1000</f>
        <v>2008.9731399999998</v>
      </c>
      <c r="E27" s="26">
        <f>$D:$D/$B:$B*100</f>
        <v>7.966772838850135</v>
      </c>
      <c r="F27" s="26">
        <v>536.1</v>
      </c>
      <c r="G27" s="36">
        <v>1398.65</v>
      </c>
      <c r="H27" s="26">
        <v>103.20835664987875</v>
      </c>
      <c r="I27" s="35">
        <f>D27-Февраль!D27</f>
        <v>610.5466499999998</v>
      </c>
    </row>
    <row r="28" spans="1:9" ht="12.75">
      <c r="A28" s="56" t="s">
        <v>107</v>
      </c>
      <c r="B28" s="28">
        <f>17332100/1000</f>
        <v>17332.1</v>
      </c>
      <c r="C28" s="28">
        <f>2919246.29/1000</f>
        <v>2919.24629</v>
      </c>
      <c r="D28" s="28">
        <f>2862625.61/1000</f>
        <v>2862.62561</v>
      </c>
      <c r="E28" s="26">
        <f>$D:$D/$B:$B*100</f>
        <v>16.516322949902207</v>
      </c>
      <c r="F28" s="26">
        <v>1929.72</v>
      </c>
      <c r="G28" s="28">
        <v>2852.38</v>
      </c>
      <c r="H28" s="26">
        <v>38.22989863814439</v>
      </c>
      <c r="I28" s="35">
        <f>D28-Февраль!D28</f>
        <v>1379.64689</v>
      </c>
    </row>
    <row r="29" spans="1:9" ht="12.75">
      <c r="A29" s="52" t="s">
        <v>9</v>
      </c>
      <c r="B29" s="28">
        <f>SUM(B30:B32)</f>
        <v>16105.5</v>
      </c>
      <c r="C29" s="28">
        <f>SUM(C30:C32)</f>
        <v>3621</v>
      </c>
      <c r="D29" s="28">
        <f>SUM(D30:D32)</f>
        <v>3688.88297</v>
      </c>
      <c r="E29" s="26">
        <f>$D:$D/$B:$B*100</f>
        <v>22.90449206792711</v>
      </c>
      <c r="F29" s="26">
        <v>793.07</v>
      </c>
      <c r="G29" s="35">
        <f>G30+G31+G32</f>
        <v>3442.57</v>
      </c>
      <c r="H29" s="26">
        <v>87.45129685904145</v>
      </c>
      <c r="I29" s="35">
        <f>D29-Февраль!D29</f>
        <v>1559.2206500000002</v>
      </c>
    </row>
    <row r="30" spans="1:9" ht="25.5">
      <c r="A30" s="56" t="s">
        <v>10</v>
      </c>
      <c r="B30" s="28">
        <f>15988300/1000</f>
        <v>15988.3</v>
      </c>
      <c r="C30" s="28">
        <f>3600000/1000</f>
        <v>3600</v>
      </c>
      <c r="D30" s="28">
        <f>3647682.97/1000</f>
        <v>3647.6829700000003</v>
      </c>
      <c r="E30" s="26">
        <f>$D:$D/$B:$B*100</f>
        <v>22.814701813200905</v>
      </c>
      <c r="F30" s="26">
        <v>793.07</v>
      </c>
      <c r="G30" s="28">
        <v>3417.77</v>
      </c>
      <c r="H30" s="26">
        <v>87.24954922011928</v>
      </c>
      <c r="I30" s="35">
        <f>D30-Февраль!D30</f>
        <v>1539.4206500000005</v>
      </c>
    </row>
    <row r="31" spans="1:9" ht="25.5">
      <c r="A31" s="56" t="s">
        <v>91</v>
      </c>
      <c r="B31" s="80">
        <f>67200/1000</f>
        <v>67.2</v>
      </c>
      <c r="C31" s="80">
        <f>5000/1000</f>
        <v>5</v>
      </c>
      <c r="D31" s="80">
        <f>30000/1000</f>
        <v>30</v>
      </c>
      <c r="E31" s="26">
        <f>$D:$D/$B:$B*100</f>
        <v>44.64285714285714</v>
      </c>
      <c r="F31" s="26">
        <v>0</v>
      </c>
      <c r="G31" s="28">
        <v>4.8</v>
      </c>
      <c r="H31" s="26" t="s">
        <v>111</v>
      </c>
      <c r="I31" s="35">
        <f>D31-Февраль!D31</f>
        <v>23.6</v>
      </c>
    </row>
    <row r="32" spans="1:9" ht="25.5">
      <c r="A32" s="56" t="s">
        <v>90</v>
      </c>
      <c r="B32" s="80">
        <f>50000/1000</f>
        <v>50</v>
      </c>
      <c r="C32" s="80">
        <f>16000/1000</f>
        <v>16</v>
      </c>
      <c r="D32" s="80">
        <f>11200/1000</f>
        <v>11.2</v>
      </c>
      <c r="E32" s="26">
        <f>$D:$D/$B:$B*100</f>
        <v>22.4</v>
      </c>
      <c r="F32" s="26">
        <v>0</v>
      </c>
      <c r="G32" s="28">
        <v>20</v>
      </c>
      <c r="H32" s="26" t="s">
        <v>111</v>
      </c>
      <c r="I32" s="35">
        <f>D32-Февраль!D32</f>
        <v>-3.8000000000000007</v>
      </c>
    </row>
    <row r="33" spans="1:9" ht="25.5" hidden="1">
      <c r="A33" s="59" t="s">
        <v>11</v>
      </c>
      <c r="B33" s="28">
        <v>0</v>
      </c>
      <c r="C33" s="28">
        <v>0</v>
      </c>
      <c r="D33" s="28">
        <v>0.02</v>
      </c>
      <c r="E33" s="26" t="e">
        <f>$D:$D/$B:$B*100</f>
        <v>#DIV/0!</v>
      </c>
      <c r="F33" s="26">
        <v>0</v>
      </c>
      <c r="G33" s="28">
        <v>0.02</v>
      </c>
      <c r="H33" s="26" t="s">
        <v>111</v>
      </c>
      <c r="I33" s="35">
        <f>D33-Февраль!D33</f>
        <v>0</v>
      </c>
    </row>
    <row r="34" spans="1:9" ht="25.5" hidden="1">
      <c r="A34" s="56" t="s">
        <v>116</v>
      </c>
      <c r="B34" s="35">
        <v>0</v>
      </c>
      <c r="C34" s="35">
        <v>0</v>
      </c>
      <c r="D34" s="35">
        <v>0.02</v>
      </c>
      <c r="E34" s="26" t="e">
        <f>$D:$D/$B:$B*100</f>
        <v>#DIV/0!</v>
      </c>
      <c r="F34" s="26">
        <v>0</v>
      </c>
      <c r="G34" s="35">
        <v>0</v>
      </c>
      <c r="H34" s="26" t="s">
        <v>111</v>
      </c>
      <c r="I34" s="35">
        <f>D34-Февраль!D34</f>
        <v>0</v>
      </c>
    </row>
    <row r="35" spans="1:9" ht="25.5" hidden="1">
      <c r="A35" s="56" t="s">
        <v>92</v>
      </c>
      <c r="B35" s="28">
        <v>0</v>
      </c>
      <c r="C35" s="28">
        <v>0</v>
      </c>
      <c r="D35" s="28">
        <v>0</v>
      </c>
      <c r="E35" s="26" t="e">
        <f>$D:$D/$B:$B*100</f>
        <v>#DIV/0!</v>
      </c>
      <c r="F35" s="26">
        <v>0</v>
      </c>
      <c r="G35" s="28">
        <v>0.02</v>
      </c>
      <c r="H35" s="26" t="s">
        <v>111</v>
      </c>
      <c r="I35" s="35">
        <f>D35-Февраль!D35</f>
        <v>0</v>
      </c>
    </row>
    <row r="36" spans="1:9" ht="39.75" customHeight="1">
      <c r="A36" s="59" t="s">
        <v>12</v>
      </c>
      <c r="B36" s="28">
        <f>SUM(B38:B44)</f>
        <v>73550.48000000001</v>
      </c>
      <c r="C36" s="28">
        <f>SUM(C38:C44)</f>
        <v>13631.51608</v>
      </c>
      <c r="D36" s="28">
        <f>SUM(D38:D44)</f>
        <v>10853.76394</v>
      </c>
      <c r="E36" s="26">
        <f>$D:$D/$B:$B*100</f>
        <v>14.756890696022648</v>
      </c>
      <c r="F36" s="26">
        <v>3247.05</v>
      </c>
      <c r="G36" s="35">
        <f>SUM(G37:G44)</f>
        <v>10024.289999999999</v>
      </c>
      <c r="H36" s="26">
        <v>91.78269506167136</v>
      </c>
      <c r="I36" s="35">
        <f>D36-Февраль!D36</f>
        <v>4522.77956</v>
      </c>
    </row>
    <row r="37" spans="1:9" ht="81.75" customHeight="1" hidden="1">
      <c r="A37" s="56" t="s">
        <v>114</v>
      </c>
      <c r="B37" s="28"/>
      <c r="C37" s="28"/>
      <c r="D37" s="28"/>
      <c r="E37" s="26" t="e">
        <f>$D:$D/$B:$B*100</f>
        <v>#DIV/0!</v>
      </c>
      <c r="F37" s="26"/>
      <c r="G37" s="28"/>
      <c r="H37" s="26" t="e">
        <v>#DIV/0!</v>
      </c>
      <c r="I37" s="35">
        <f>D37-Февраль!D37</f>
        <v>0</v>
      </c>
    </row>
    <row r="38" spans="1:9" ht="89.25">
      <c r="A38" s="56" t="s">
        <v>117</v>
      </c>
      <c r="B38" s="28">
        <f>37670900/1000</f>
        <v>37670.9</v>
      </c>
      <c r="C38" s="28">
        <f>6500000/1000</f>
        <v>6500</v>
      </c>
      <c r="D38" s="28">
        <f>6241904.19/1000</f>
        <v>6241.90419</v>
      </c>
      <c r="E38" s="26">
        <f>$D:$D/$B:$B*100</f>
        <v>16.569564809972682</v>
      </c>
      <c r="F38" s="26">
        <v>2393.3</v>
      </c>
      <c r="G38" s="28">
        <v>5376.7</v>
      </c>
      <c r="H38" s="26">
        <v>97.4570676471817</v>
      </c>
      <c r="I38" s="35">
        <f>D38-Февраль!D38</f>
        <v>2523.36424</v>
      </c>
    </row>
    <row r="39" spans="1:9" ht="76.5">
      <c r="A39" s="56" t="s">
        <v>125</v>
      </c>
      <c r="B39" s="83">
        <f>7265030/1000</f>
        <v>7265.03</v>
      </c>
      <c r="C39" s="83">
        <f>777344.6/1000</f>
        <v>777.3446</v>
      </c>
      <c r="D39" s="84">
        <f>683058.55/1000</f>
        <v>683.0585500000001</v>
      </c>
      <c r="E39" s="26">
        <f>$D:$D/$B:$B*100</f>
        <v>9.402005910505533</v>
      </c>
      <c r="F39" s="26">
        <v>75.44</v>
      </c>
      <c r="G39" s="28">
        <v>225.44</v>
      </c>
      <c r="H39" s="26" t="s">
        <v>111</v>
      </c>
      <c r="I39" s="35">
        <f>D39-Февраль!D39</f>
        <v>522.1457</v>
      </c>
    </row>
    <row r="40" spans="1:9" ht="89.25">
      <c r="A40" s="56" t="s">
        <v>118</v>
      </c>
      <c r="B40" s="83">
        <f>427990/1000</f>
        <v>427.99</v>
      </c>
      <c r="C40" s="83">
        <f>103521/1000</f>
        <v>103.521</v>
      </c>
      <c r="D40" s="84">
        <f>40939.04/1000</f>
        <v>40.93904</v>
      </c>
      <c r="E40" s="26">
        <f>$D:$D/$B:$B*100</f>
        <v>9.565419752797961</v>
      </c>
      <c r="F40" s="26">
        <v>3.43</v>
      </c>
      <c r="G40" s="28">
        <v>64.63</v>
      </c>
      <c r="H40" s="26">
        <v>528.2798833819242</v>
      </c>
      <c r="I40" s="35">
        <f>D40-Февраль!D40</f>
        <v>19.50401</v>
      </c>
    </row>
    <row r="41" spans="1:9" ht="38.25">
      <c r="A41" s="56" t="s">
        <v>119</v>
      </c>
      <c r="B41" s="83">
        <f>21306530/1000</f>
        <v>21306.53</v>
      </c>
      <c r="C41" s="83">
        <f>3212844.48/1000</f>
        <v>3212.84448</v>
      </c>
      <c r="D41" s="84">
        <f>3256020/1000</f>
        <v>3256.02</v>
      </c>
      <c r="E41" s="26">
        <f>$D:$D/$B:$B*100</f>
        <v>15.281793891356314</v>
      </c>
      <c r="F41" s="26">
        <v>538.73</v>
      </c>
      <c r="G41" s="28">
        <v>3165.87</v>
      </c>
      <c r="H41" s="26">
        <v>72.6653425649212</v>
      </c>
      <c r="I41" s="35">
        <f>D41-Февраль!D41</f>
        <v>1011.8005800000001</v>
      </c>
    </row>
    <row r="42" spans="1:9" ht="51">
      <c r="A42" s="56" t="s">
        <v>147</v>
      </c>
      <c r="B42" s="83">
        <f>64240/1000</f>
        <v>64.24</v>
      </c>
      <c r="C42" s="83">
        <f>16059/1000</f>
        <v>16.059</v>
      </c>
      <c r="D42" s="83">
        <v>0</v>
      </c>
      <c r="E42" s="26">
        <f>$D:$D/$B:$B*100</f>
        <v>0</v>
      </c>
      <c r="F42" s="26"/>
      <c r="G42" s="28">
        <v>7.01</v>
      </c>
      <c r="H42" s="26"/>
      <c r="I42" s="35">
        <f>D42-Февраль!D42</f>
        <v>0</v>
      </c>
    </row>
    <row r="43" spans="1:9" ht="51">
      <c r="A43" s="56" t="s">
        <v>120</v>
      </c>
      <c r="B43" s="83">
        <f>2735600/1000</f>
        <v>2735.6</v>
      </c>
      <c r="C43" s="83">
        <f>2051700/1000</f>
        <v>2051.7</v>
      </c>
      <c r="D43" s="83">
        <f>105492/1000</f>
        <v>105.492</v>
      </c>
      <c r="E43" s="26">
        <f>$D:$D/$B:$B*100</f>
        <v>3.856265535897061</v>
      </c>
      <c r="F43" s="26">
        <v>0</v>
      </c>
      <c r="G43" s="28">
        <v>103.65</v>
      </c>
      <c r="H43" s="26" t="s">
        <v>111</v>
      </c>
      <c r="I43" s="35">
        <f>D43-Февраль!D43</f>
        <v>105.492</v>
      </c>
    </row>
    <row r="44" spans="1:9" ht="76.5">
      <c r="A44" s="60" t="s">
        <v>121</v>
      </c>
      <c r="B44" s="82">
        <f>4080190/1000</f>
        <v>4080.19</v>
      </c>
      <c r="C44" s="82">
        <f>970047/1000</f>
        <v>970.047</v>
      </c>
      <c r="D44" s="82">
        <f>526350.16/1000</f>
        <v>526.3501600000001</v>
      </c>
      <c r="E44" s="26">
        <f>$D:$D/$B:$B*100</f>
        <v>12.900138473943617</v>
      </c>
      <c r="F44" s="26">
        <v>236.15</v>
      </c>
      <c r="G44" s="28">
        <v>1080.99</v>
      </c>
      <c r="H44" s="26">
        <v>100.86809231420706</v>
      </c>
      <c r="I44" s="35">
        <f>D44-Февраль!D44</f>
        <v>340.4730300000001</v>
      </c>
    </row>
    <row r="45" spans="1:9" ht="27" customHeight="1">
      <c r="A45" s="53" t="s">
        <v>13</v>
      </c>
      <c r="B45" s="28">
        <f>766900/1000</f>
        <v>766.9</v>
      </c>
      <c r="C45" s="28">
        <f>375100/1000</f>
        <v>375.1</v>
      </c>
      <c r="D45" s="28">
        <f>292037.99/1000</f>
        <v>292.03799</v>
      </c>
      <c r="E45" s="26">
        <f>$D:$D/$B:$B*100</f>
        <v>38.080322075889946</v>
      </c>
      <c r="F45" s="26">
        <v>43.6</v>
      </c>
      <c r="G45" s="27">
        <v>160.92</v>
      </c>
      <c r="H45" s="26">
        <v>29.495412844036693</v>
      </c>
      <c r="I45" s="35">
        <f>D45-Февраль!D45</f>
        <v>134.84803</v>
      </c>
    </row>
    <row r="46" spans="1:9" ht="25.5">
      <c r="A46" s="53" t="s">
        <v>96</v>
      </c>
      <c r="B46" s="28">
        <f>1277590/1000</f>
        <v>1277.59</v>
      </c>
      <c r="C46" s="28">
        <f>22000/1000</f>
        <v>22</v>
      </c>
      <c r="D46" s="28">
        <f>188742.64/1000</f>
        <v>188.74264000000002</v>
      </c>
      <c r="E46" s="26">
        <f>$D:$D/$B:$B*100</f>
        <v>14.77333416823864</v>
      </c>
      <c r="F46" s="26">
        <v>561.58</v>
      </c>
      <c r="G46" s="27">
        <v>1211.29</v>
      </c>
      <c r="H46" s="26">
        <v>83.484098436554</v>
      </c>
      <c r="I46" s="35">
        <f>D46-Февраль!D46</f>
        <v>99.52539000000002</v>
      </c>
    </row>
    <row r="47" spans="1:9" ht="25.5">
      <c r="A47" s="59" t="s">
        <v>14</v>
      </c>
      <c r="B47" s="28">
        <f>SUM(B48:B50)</f>
        <v>3900</v>
      </c>
      <c r="C47" s="28">
        <f>SUM(C48:C50)</f>
        <v>709.09</v>
      </c>
      <c r="D47" s="28">
        <f>SUM(D48:D50)</f>
        <v>634.09024</v>
      </c>
      <c r="E47" s="26">
        <f>$D:$D/$B:$B*100</f>
        <v>16.258724102564102</v>
      </c>
      <c r="F47" s="26">
        <v>585.5</v>
      </c>
      <c r="G47" s="35">
        <f>G48+G49+G50</f>
        <v>737.8299999999999</v>
      </c>
      <c r="H47" s="26">
        <v>7.185311699402221</v>
      </c>
      <c r="I47" s="35">
        <f>D47-Февраль!D47</f>
        <v>35.52909999999997</v>
      </c>
    </row>
    <row r="48" spans="1:9" ht="12.75">
      <c r="A48" s="56" t="s">
        <v>94</v>
      </c>
      <c r="B48" s="35">
        <v>0</v>
      </c>
      <c r="C48" s="35">
        <v>0</v>
      </c>
      <c r="D48" s="35">
        <v>0</v>
      </c>
      <c r="E48" s="26" t="e">
        <f>$D:$D/$B:$B*100</f>
        <v>#DIV/0!</v>
      </c>
      <c r="F48" s="26">
        <v>0</v>
      </c>
      <c r="G48" s="28">
        <v>0</v>
      </c>
      <c r="H48" s="26" t="s">
        <v>111</v>
      </c>
      <c r="I48" s="35">
        <f>D48-Февраль!D48</f>
        <v>0</v>
      </c>
    </row>
    <row r="49" spans="1:9" ht="76.5">
      <c r="A49" s="56" t="s">
        <v>95</v>
      </c>
      <c r="B49" s="28">
        <v>0</v>
      </c>
      <c r="C49" s="28">
        <v>0</v>
      </c>
      <c r="D49" s="28">
        <v>0</v>
      </c>
      <c r="E49" s="26" t="e">
        <f>$D:$D/$B:$B*100</f>
        <v>#DIV/0!</v>
      </c>
      <c r="F49" s="26">
        <v>37.14</v>
      </c>
      <c r="G49" s="28">
        <v>61.69</v>
      </c>
      <c r="H49" s="26">
        <v>0</v>
      </c>
      <c r="I49" s="35">
        <f>D49-Февраль!D49</f>
        <v>0</v>
      </c>
    </row>
    <row r="50" spans="1:9" ht="16.5" customHeight="1">
      <c r="A50" s="60" t="s">
        <v>93</v>
      </c>
      <c r="B50" s="83">
        <f>3900000/1000</f>
        <v>3900</v>
      </c>
      <c r="C50" s="84">
        <f>709090/1000</f>
        <v>709.09</v>
      </c>
      <c r="D50" s="84">
        <f>634090.24/1000</f>
        <v>634.09024</v>
      </c>
      <c r="E50" s="26">
        <f>$D:$D/$B:$B*100</f>
        <v>16.258724102564102</v>
      </c>
      <c r="F50" s="26">
        <v>548.36</v>
      </c>
      <c r="G50" s="28">
        <v>676.14</v>
      </c>
      <c r="H50" s="26">
        <v>7.671967320738202</v>
      </c>
      <c r="I50" s="35">
        <f>D50-Февраль!D50</f>
        <v>35.52909999999997</v>
      </c>
    </row>
    <row r="51" spans="1:9" ht="12.75">
      <c r="A51" s="53" t="s">
        <v>15</v>
      </c>
      <c r="B51" s="28">
        <f>5212700/1000</f>
        <v>5212.7</v>
      </c>
      <c r="C51" s="28">
        <f>354756/1000</f>
        <v>354.756</v>
      </c>
      <c r="D51" s="28">
        <f>626993.54/1000</f>
        <v>626.99354</v>
      </c>
      <c r="E51" s="26">
        <f>$D:$D/$B:$B*100</f>
        <v>12.028191532219388</v>
      </c>
      <c r="F51" s="26">
        <v>179.73</v>
      </c>
      <c r="G51" s="35">
        <v>1039.92</v>
      </c>
      <c r="H51" s="26">
        <v>44.182941078284095</v>
      </c>
      <c r="I51" s="35">
        <f>D51-Февраль!D51</f>
        <v>309.95897</v>
      </c>
    </row>
    <row r="52" spans="1:9" ht="63.75" hidden="1">
      <c r="A52" s="56" t="s">
        <v>126</v>
      </c>
      <c r="B52" s="28">
        <v>223.07</v>
      </c>
      <c r="C52" s="28">
        <v>20</v>
      </c>
      <c r="D52" s="28"/>
      <c r="E52" s="26">
        <f>$D:$D/$B:$B*100</f>
        <v>0</v>
      </c>
      <c r="F52" s="26"/>
      <c r="G52" s="28"/>
      <c r="H52" s="26" t="e">
        <v>#DIV/0!</v>
      </c>
      <c r="I52" s="35">
        <f>D52-Февраль!D52</f>
        <v>0</v>
      </c>
    </row>
    <row r="53" spans="1:9" ht="89.25" hidden="1">
      <c r="A53" s="56" t="s">
        <v>127</v>
      </c>
      <c r="B53" s="28">
        <v>223.07</v>
      </c>
      <c r="C53" s="28">
        <v>20</v>
      </c>
      <c r="D53" s="28"/>
      <c r="E53" s="26">
        <f>$D:$D/$B:$B*100</f>
        <v>0</v>
      </c>
      <c r="F53" s="26"/>
      <c r="G53" s="28"/>
      <c r="H53" s="26" t="e">
        <v>#DIV/0!</v>
      </c>
      <c r="I53" s="35">
        <f>D53-Февраль!D53</f>
        <v>0</v>
      </c>
    </row>
    <row r="54" spans="1:9" ht="63.75" hidden="1">
      <c r="A54" s="56" t="s">
        <v>128</v>
      </c>
      <c r="B54" s="28">
        <v>223.07</v>
      </c>
      <c r="C54" s="28">
        <v>20</v>
      </c>
      <c r="D54" s="28"/>
      <c r="E54" s="26">
        <f>$D:$D/$B:$B*100</f>
        <v>0</v>
      </c>
      <c r="F54" s="26"/>
      <c r="G54" s="28"/>
      <c r="H54" s="26" t="e">
        <v>#DIV/0!</v>
      </c>
      <c r="I54" s="35">
        <f>D54-Февраль!D54</f>
        <v>0</v>
      </c>
    </row>
    <row r="55" spans="1:9" ht="29.25" customHeight="1" hidden="1">
      <c r="A55" s="56" t="s">
        <v>129</v>
      </c>
      <c r="B55" s="28">
        <v>223.07</v>
      </c>
      <c r="C55" s="28">
        <v>20</v>
      </c>
      <c r="D55" s="28"/>
      <c r="E55" s="26">
        <f>$D:$D/$B:$B*100</f>
        <v>0</v>
      </c>
      <c r="F55" s="26"/>
      <c r="G55" s="28"/>
      <c r="H55" s="26" t="s">
        <v>112</v>
      </c>
      <c r="I55" s="35">
        <f>D55-Февраль!D55</f>
        <v>0</v>
      </c>
    </row>
    <row r="56" spans="1:9" ht="38.25" customHeight="1" hidden="1">
      <c r="A56" s="56" t="s">
        <v>130</v>
      </c>
      <c r="B56" s="28">
        <v>223.07</v>
      </c>
      <c r="C56" s="28">
        <v>20</v>
      </c>
      <c r="D56" s="28"/>
      <c r="E56" s="26">
        <f>$D:$D/$B:$B*100</f>
        <v>0</v>
      </c>
      <c r="F56" s="26"/>
      <c r="G56" s="28"/>
      <c r="H56" s="26" t="e">
        <v>#DIV/0!</v>
      </c>
      <c r="I56" s="35">
        <f>D56-Февраль!D56</f>
        <v>0</v>
      </c>
    </row>
    <row r="57" spans="1:9" ht="43.5" customHeight="1" hidden="1">
      <c r="A57" s="56" t="s">
        <v>131</v>
      </c>
      <c r="B57" s="28">
        <v>223.07</v>
      </c>
      <c r="C57" s="28">
        <v>20</v>
      </c>
      <c r="D57" s="28"/>
      <c r="E57" s="26">
        <f>$D:$D/$B:$B*100</f>
        <v>0</v>
      </c>
      <c r="F57" s="26"/>
      <c r="G57" s="28"/>
      <c r="H57" s="26" t="e">
        <v>#DIV/0!</v>
      </c>
      <c r="I57" s="35">
        <f>D57-Февраль!D57</f>
        <v>0</v>
      </c>
    </row>
    <row r="58" spans="1:9" ht="40.5" customHeight="1" hidden="1">
      <c r="A58" s="56" t="s">
        <v>132</v>
      </c>
      <c r="B58" s="28">
        <v>223.07</v>
      </c>
      <c r="C58" s="28">
        <v>20</v>
      </c>
      <c r="D58" s="28"/>
      <c r="E58" s="26">
        <f>$D:$D/$B:$B*100</f>
        <v>0</v>
      </c>
      <c r="F58" s="26"/>
      <c r="G58" s="28"/>
      <c r="H58" s="26" t="e">
        <v>#DIV/0!</v>
      </c>
      <c r="I58" s="35">
        <f>D58-Февраль!D58</f>
        <v>0</v>
      </c>
    </row>
    <row r="59" spans="1:9" ht="51" hidden="1">
      <c r="A59" s="56" t="s">
        <v>133</v>
      </c>
      <c r="B59" s="27">
        <v>223.07</v>
      </c>
      <c r="C59" s="27">
        <v>20</v>
      </c>
      <c r="D59" s="27"/>
      <c r="E59" s="26">
        <f>$D:$D/$B:$B*100</f>
        <v>0</v>
      </c>
      <c r="F59" s="26"/>
      <c r="G59" s="28"/>
      <c r="H59" s="26" t="e">
        <v>#DIV/0!</v>
      </c>
      <c r="I59" s="35">
        <f>D59-Февраль!D59</f>
        <v>0</v>
      </c>
    </row>
    <row r="60" spans="1:9" ht="76.5" hidden="1">
      <c r="A60" s="56" t="s">
        <v>134</v>
      </c>
      <c r="B60" s="35">
        <v>223.07</v>
      </c>
      <c r="C60" s="35">
        <v>20</v>
      </c>
      <c r="D60" s="35"/>
      <c r="E60" s="26">
        <f>$D:$D/$B:$B*100</f>
        <v>0</v>
      </c>
      <c r="F60" s="26"/>
      <c r="G60" s="28"/>
      <c r="H60" s="26" t="s">
        <v>111</v>
      </c>
      <c r="I60" s="35">
        <f>D60-Февраль!D60</f>
        <v>0</v>
      </c>
    </row>
    <row r="61" spans="1:9" ht="12.75" hidden="1">
      <c r="A61" s="56" t="s">
        <v>135</v>
      </c>
      <c r="B61" s="35">
        <v>223.07</v>
      </c>
      <c r="C61" s="35">
        <v>20</v>
      </c>
      <c r="D61" s="35"/>
      <c r="E61" s="26">
        <f>$D:$D/$B:$B*100</f>
        <v>0</v>
      </c>
      <c r="F61" s="26"/>
      <c r="G61" s="28"/>
      <c r="H61" s="26" t="s">
        <v>112</v>
      </c>
      <c r="I61" s="35">
        <f>D61-Февраль!D61</f>
        <v>0</v>
      </c>
    </row>
    <row r="62" spans="1:9" ht="12.75">
      <c r="A62" s="52" t="s">
        <v>16</v>
      </c>
      <c r="B62" s="81">
        <f>50000/1000</f>
        <v>50</v>
      </c>
      <c r="C62" s="81">
        <f>12498/1000</f>
        <v>12.498</v>
      </c>
      <c r="D62" s="81">
        <v>0.2</v>
      </c>
      <c r="E62" s="26">
        <f>$D:$D/$B:$B*100</f>
        <v>0.4</v>
      </c>
      <c r="F62" s="26">
        <v>-38.79</v>
      </c>
      <c r="G62" s="27">
        <v>-74.39</v>
      </c>
      <c r="H62" s="26">
        <v>-18.45836555813354</v>
      </c>
      <c r="I62" s="35">
        <f>D62-Февраль!D62</f>
        <v>-34.29582</v>
      </c>
    </row>
    <row r="63" spans="1:9" ht="12.75">
      <c r="A63" s="59" t="s">
        <v>17</v>
      </c>
      <c r="B63" s="28">
        <f>B62+B51+B47+B46+B45+B36+B29+B26+B21+B16+B8</f>
        <v>673452.6000000001</v>
      </c>
      <c r="C63" s="28">
        <f>C62+C51+C47+C46+C45+C36+C29+C26+C21+C16+C8</f>
        <v>177015.27240000002</v>
      </c>
      <c r="D63" s="28">
        <f>D62+D51+D47+D46+D45+D36+D29+D26+D21+D16+D8</f>
        <v>170232.49980000002</v>
      </c>
      <c r="E63" s="26">
        <f>$D:$D/$B:$B*100</f>
        <v>25.277577041056787</v>
      </c>
      <c r="F63" s="26">
        <v>27699.089999999997</v>
      </c>
      <c r="G63" s="35">
        <f>G10+G17+G22+G26+G29+G33+G36+G45+G46+G47+G62+G51</f>
        <v>82138.52999999998</v>
      </c>
      <c r="H63" s="26">
        <v>96.62342697900908</v>
      </c>
      <c r="I63" s="35">
        <f>D63-Февраль!D63</f>
        <v>56759.823320000025</v>
      </c>
    </row>
    <row r="64" spans="1:9" ht="12.75">
      <c r="A64" s="59" t="s">
        <v>18</v>
      </c>
      <c r="B64" s="28">
        <f>B65+B70+B71</f>
        <v>2436649.63677</v>
      </c>
      <c r="C64" s="28">
        <f>C65+C70+C71</f>
        <v>323176.78827</v>
      </c>
      <c r="D64" s="28">
        <f>D65+D70+D71</f>
        <v>300176.78826999996</v>
      </c>
      <c r="E64" s="26">
        <f>$D:$D/$B:$B*100</f>
        <v>12.319242936703509</v>
      </c>
      <c r="F64" s="26">
        <v>43822.57000000001</v>
      </c>
      <c r="G64" s="35">
        <f>G65+G71+G70</f>
        <v>292350.15</v>
      </c>
      <c r="H64" s="26">
        <v>103.7277138241778</v>
      </c>
      <c r="I64" s="35">
        <f>D64-Февраль!D64</f>
        <v>118186.86826999998</v>
      </c>
    </row>
    <row r="65" spans="1:9" ht="25.5">
      <c r="A65" s="59" t="s">
        <v>19</v>
      </c>
      <c r="B65" s="28">
        <f>SUM(B66:B69)</f>
        <v>2431827.30677</v>
      </c>
      <c r="C65" s="28">
        <f>SUM(C66:C69)</f>
        <v>341549.72033000004</v>
      </c>
      <c r="D65" s="28">
        <f>SUM(D66:D69)</f>
        <v>318549.72033</v>
      </c>
      <c r="E65" s="26">
        <f>$D:$D/$B:$B*100</f>
        <v>13.099191683685133</v>
      </c>
      <c r="F65" s="26">
        <v>46091.770000000004</v>
      </c>
      <c r="G65" s="35">
        <f>G66+G67+G69+G68</f>
        <v>295022.34</v>
      </c>
      <c r="H65" s="26">
        <v>114.15588943535906</v>
      </c>
      <c r="I65" s="35">
        <f>D65-Февраль!D65</f>
        <v>111647.50033000001</v>
      </c>
    </row>
    <row r="66" spans="1:9" ht="12.75">
      <c r="A66" s="56" t="s">
        <v>108</v>
      </c>
      <c r="B66" s="28">
        <f>460860200/1000</f>
        <v>460860.2</v>
      </c>
      <c r="C66" s="28">
        <f>129361300/1000</f>
        <v>129361.3</v>
      </c>
      <c r="D66" s="28">
        <f>106361300/1000</f>
        <v>106361.3</v>
      </c>
      <c r="E66" s="26">
        <f>$D:$D/$B:$B*100</f>
        <v>23.0788642629587</v>
      </c>
      <c r="F66" s="26">
        <v>15902.8</v>
      </c>
      <c r="G66" s="28">
        <v>110895</v>
      </c>
      <c r="H66" s="26">
        <v>109.8963704504867</v>
      </c>
      <c r="I66" s="35">
        <f>D66-Февраль!D66</f>
        <v>23015.800000000003</v>
      </c>
    </row>
    <row r="67" spans="1:9" ht="12.75" customHeight="1">
      <c r="A67" s="56" t="s">
        <v>109</v>
      </c>
      <c r="B67" s="28">
        <f>842782506.77/1000</f>
        <v>842782.50677</v>
      </c>
      <c r="C67" s="28">
        <f>16207497.97/1000</f>
        <v>16207.49797</v>
      </c>
      <c r="D67" s="28">
        <f>16207497.97/1000</f>
        <v>16207.49797</v>
      </c>
      <c r="E67" s="26">
        <f>$D:$D/$B:$B*100</f>
        <v>1.9230937804008215</v>
      </c>
      <c r="F67" s="26">
        <v>0</v>
      </c>
      <c r="G67" s="28">
        <v>7953.67</v>
      </c>
      <c r="H67" s="26">
        <v>0</v>
      </c>
      <c r="I67" s="35">
        <f>D67-Февраль!D67</f>
        <v>9569.29797</v>
      </c>
    </row>
    <row r="68" spans="1:9" ht="18.75" customHeight="1">
      <c r="A68" s="56" t="s">
        <v>110</v>
      </c>
      <c r="B68" s="28">
        <f>1081078200/1000</f>
        <v>1081078.2</v>
      </c>
      <c r="C68" s="28">
        <f>187890322.36/1000</f>
        <v>187890.32236000002</v>
      </c>
      <c r="D68" s="28">
        <f>187890322.36/1000</f>
        <v>187890.32236000002</v>
      </c>
      <c r="E68" s="26">
        <f>$D:$D/$B:$B*100</f>
        <v>17.37990113573653</v>
      </c>
      <c r="F68" s="26">
        <v>30188.97</v>
      </c>
      <c r="G68" s="28">
        <v>175985.1</v>
      </c>
      <c r="H68" s="26">
        <v>116.39969830040575</v>
      </c>
      <c r="I68" s="35">
        <f>D68-Февраль!D68</f>
        <v>74904.16236000002</v>
      </c>
    </row>
    <row r="69" spans="1:9" ht="12.75" customHeight="1">
      <c r="A69" s="2" t="s">
        <v>122</v>
      </c>
      <c r="B69" s="36">
        <v>47106.4</v>
      </c>
      <c r="C69" s="36">
        <f>8090600/1000</f>
        <v>8090.6</v>
      </c>
      <c r="D69" s="36">
        <f>8090600/1000</f>
        <v>8090.6</v>
      </c>
      <c r="E69" s="26">
        <f>$D:$D/$B:$B*100</f>
        <v>17.175160912317647</v>
      </c>
      <c r="F69" s="26">
        <v>0</v>
      </c>
      <c r="G69" s="28">
        <v>188.57</v>
      </c>
      <c r="H69" s="26" t="s">
        <v>111</v>
      </c>
      <c r="I69" s="35">
        <f>D69-Февраль!D69</f>
        <v>4158.24</v>
      </c>
    </row>
    <row r="70" spans="1:9" ht="12.75" customHeight="1">
      <c r="A70" s="59" t="s">
        <v>113</v>
      </c>
      <c r="B70" s="83">
        <f>4822330/1000</f>
        <v>4822.33</v>
      </c>
      <c r="C70" s="83">
        <v>0</v>
      </c>
      <c r="D70" s="83">
        <v>0</v>
      </c>
      <c r="E70" s="26">
        <f>$D:$D/$B:$B*100</f>
        <v>0</v>
      </c>
      <c r="F70" s="26">
        <v>0</v>
      </c>
      <c r="G70" s="28"/>
      <c r="H70" s="26" t="s">
        <v>112</v>
      </c>
      <c r="I70" s="35">
        <f>D70-Февраль!D70</f>
        <v>0</v>
      </c>
    </row>
    <row r="71" spans="1:9" ht="25.5">
      <c r="A71" s="59" t="s">
        <v>21</v>
      </c>
      <c r="B71" s="83">
        <v>0</v>
      </c>
      <c r="C71" s="83">
        <f>-18372932.06/1000</f>
        <v>-18372.93206</v>
      </c>
      <c r="D71" s="83">
        <f>-18372932.06/1000</f>
        <v>-18372.93206</v>
      </c>
      <c r="E71" s="26" t="e">
        <f>$D:$D/$B:$B*100</f>
        <v>#DIV/0!</v>
      </c>
      <c r="F71" s="26">
        <v>-2269.2</v>
      </c>
      <c r="G71" s="27">
        <v>-2672.19</v>
      </c>
      <c r="H71" s="26">
        <v>315.5438039837828</v>
      </c>
      <c r="I71" s="35">
        <f>D71-Февраль!D71</f>
        <v>6539.36794</v>
      </c>
    </row>
    <row r="72" spans="1:9" ht="12.75">
      <c r="A72" s="52" t="s">
        <v>20</v>
      </c>
      <c r="B72" s="27">
        <f>B9+B11+B12+B13+B14+B15+B17+B18+B19+B20+B22+B23+B24+B25+B27+B28+B30+B31+B32+B38+B39+B40+B41+B42+B43+B44+B45+B46+B48+B49+B50+B51+B62+B66+B67+B68+B69+B70+B71</f>
        <v>3110102.23677</v>
      </c>
      <c r="C72" s="27">
        <f>C9+C11+C12+C13+C14+C15+C17+C18+C19+C20+C22+C23+C24+C25+C27+C28+C30+C31+C32+C38+C39+C40+C41+C42+C43+C44+C45+C46+C48+C49+C50+C51+C62+C66+C67+C68+C69+C70+C71</f>
        <v>500192.06067000004</v>
      </c>
      <c r="D72" s="27">
        <f>D9+D11+D12+D13+D14+D15+D17+D18+D19+D20+D22+D23+D24+D25+D27+D28+D30+D31+D32+D38+D39+D40+D41+D42+D43+D44+D45+D46+D48+D49+D50+D51+D62+D66+D67+D68+D69+D70+D71</f>
        <v>470409.28807</v>
      </c>
      <c r="E72" s="26">
        <f>$D:$D/$B:$B*100</f>
        <v>15.125203361756496</v>
      </c>
      <c r="F72" s="26">
        <v>71521.66</v>
      </c>
      <c r="G72" s="35">
        <v>423162</v>
      </c>
      <c r="H72" s="26">
        <v>100.97634758477363</v>
      </c>
      <c r="I72" s="35">
        <f>D72-Февраль!D72</f>
        <v>174946.69159</v>
      </c>
    </row>
    <row r="73" spans="1:9" ht="12.75" hidden="1">
      <c r="A73" s="59"/>
      <c r="B73" s="66"/>
      <c r="C73" s="66"/>
      <c r="D73" s="66"/>
      <c r="E73" s="50"/>
      <c r="F73" s="50"/>
      <c r="G73" s="66"/>
      <c r="H73" s="50"/>
      <c r="I73" s="66"/>
    </row>
    <row r="74" spans="1:9" ht="12.75" hidden="1">
      <c r="A74" s="59"/>
      <c r="B74" s="61"/>
      <c r="C74" s="61"/>
      <c r="D74" s="61"/>
      <c r="E74" s="50"/>
      <c r="F74" s="50"/>
      <c r="G74" s="61"/>
      <c r="H74" s="50"/>
      <c r="I74" s="61"/>
    </row>
    <row r="75" spans="1:9" ht="12.75" hidden="1">
      <c r="A75" s="52"/>
      <c r="B75" s="62"/>
      <c r="C75" s="62"/>
      <c r="D75" s="62"/>
      <c r="E75" s="50"/>
      <c r="F75" s="50"/>
      <c r="G75" s="62"/>
      <c r="H75" s="50"/>
      <c r="I75" s="62"/>
    </row>
    <row r="76" spans="1:9" ht="12.75" hidden="1">
      <c r="A76" s="67"/>
      <c r="B76" s="68"/>
      <c r="C76" s="68"/>
      <c r="D76" s="68"/>
      <c r="E76" s="69"/>
      <c r="F76" s="69"/>
      <c r="G76" s="68"/>
      <c r="H76" s="69"/>
      <c r="I76" s="70"/>
    </row>
    <row r="77" spans="1:9" ht="12.75">
      <c r="A77" s="86" t="s">
        <v>22</v>
      </c>
      <c r="B77" s="87"/>
      <c r="C77" s="87"/>
      <c r="D77" s="87"/>
      <c r="E77" s="87"/>
      <c r="F77" s="87"/>
      <c r="G77" s="87"/>
      <c r="H77" s="87"/>
      <c r="I77" s="88"/>
    </row>
    <row r="78" spans="1:9" ht="12.75">
      <c r="A78" s="7" t="s">
        <v>23</v>
      </c>
      <c r="B78" s="35">
        <f>B79+B80+B81+B82+B83+B84+B85+B86</f>
        <v>312210.643</v>
      </c>
      <c r="C78" s="35">
        <f>C79+C80+C81+C82+C83+C84+C85+C86</f>
        <v>29610.49078</v>
      </c>
      <c r="D78" s="35">
        <f>D79+D80+D81+D82+D83+D84+D85+D86</f>
        <v>27636.5836</v>
      </c>
      <c r="E78" s="26">
        <f>$D:$D/$B:$B*100</f>
        <v>8.85190310440506</v>
      </c>
      <c r="F78" s="26">
        <f>$D:$D/$C:$C*100</f>
        <v>93.33375730018886</v>
      </c>
      <c r="G78" s="35">
        <f>G79+G80+G81+G82+G83+G84+G85+G86</f>
        <v>27185.4</v>
      </c>
      <c r="H78" s="26">
        <f>$D:$D/$G:$G*100</f>
        <v>101.6596540790277</v>
      </c>
      <c r="I78" s="35">
        <f>I79+I80+I81+I82+I83+I84+I85+I86</f>
        <v>27539.78195</v>
      </c>
    </row>
    <row r="79" spans="1:9" ht="14.25" customHeight="1">
      <c r="A79" s="8" t="s">
        <v>24</v>
      </c>
      <c r="B79" s="36">
        <f>2878440/1000</f>
        <v>2878.44</v>
      </c>
      <c r="C79" s="71">
        <v>317.63378</v>
      </c>
      <c r="D79" s="71">
        <v>316.63378</v>
      </c>
      <c r="E79" s="29">
        <f>$D:$D/$B:$B*100</f>
        <v>11.000186906796737</v>
      </c>
      <c r="F79" s="29">
        <v>0</v>
      </c>
      <c r="G79" s="36">
        <v>607.1</v>
      </c>
      <c r="H79" s="29">
        <v>0</v>
      </c>
      <c r="I79" s="36">
        <f>D79</f>
        <v>316.63378</v>
      </c>
    </row>
    <row r="80" spans="1:9" ht="12.75">
      <c r="A80" s="8" t="s">
        <v>25</v>
      </c>
      <c r="B80" s="36">
        <f>6543130/1000</f>
        <v>6543.13</v>
      </c>
      <c r="C80" s="71">
        <v>1571.64017</v>
      </c>
      <c r="D80" s="71">
        <v>1241.25197</v>
      </c>
      <c r="E80" s="29">
        <f>$D:$D/$B:$B*100</f>
        <v>18.970308858298704</v>
      </c>
      <c r="F80" s="29">
        <f>$D:$D/$C:$C*100</f>
        <v>78.97812703527424</v>
      </c>
      <c r="G80" s="36">
        <v>1524.4</v>
      </c>
      <c r="H80" s="29">
        <f>$D:$D/$G:$G*100</f>
        <v>81.42560810810811</v>
      </c>
      <c r="I80" s="36">
        <f>D80</f>
        <v>1241.25197</v>
      </c>
    </row>
    <row r="81" spans="1:9" ht="25.5">
      <c r="A81" s="8" t="s">
        <v>26</v>
      </c>
      <c r="B81" s="36">
        <f>63980770/1000</f>
        <v>63980.77</v>
      </c>
      <c r="C81" s="71">
        <v>14770.538400000001</v>
      </c>
      <c r="D81" s="71">
        <v>14036.444660000001</v>
      </c>
      <c r="E81" s="29">
        <f>$D:$D/$B:$B*100</f>
        <v>21.938536625926826</v>
      </c>
      <c r="F81" s="29">
        <f>$D:$D/$C:$C*100</f>
        <v>95.03001366558175</v>
      </c>
      <c r="G81" s="36">
        <v>12947.8</v>
      </c>
      <c r="H81" s="29">
        <f>$D:$D/$G:$G*100</f>
        <v>108.40795084879286</v>
      </c>
      <c r="I81" s="36">
        <f aca="true" t="shared" si="0" ref="I81:I124">D81</f>
        <v>14036.444660000001</v>
      </c>
    </row>
    <row r="82" spans="1:9" ht="12.75">
      <c r="A82" s="8" t="s">
        <v>72</v>
      </c>
      <c r="B82" s="45">
        <f>327700/1000</f>
        <v>327.7</v>
      </c>
      <c r="C82" s="71">
        <v>170</v>
      </c>
      <c r="D82" s="71">
        <v>170</v>
      </c>
      <c r="E82" s="29">
        <v>0</v>
      </c>
      <c r="F82" s="29">
        <v>0</v>
      </c>
      <c r="G82" s="45">
        <v>0</v>
      </c>
      <c r="H82" s="29">
        <v>0</v>
      </c>
      <c r="I82" s="36">
        <f>D83</f>
        <v>2835.64259</v>
      </c>
    </row>
    <row r="83" spans="1:9" ht="25.5">
      <c r="A83" s="1" t="s">
        <v>27</v>
      </c>
      <c r="B83" s="28">
        <f>15705720/1000</f>
        <v>15705.72</v>
      </c>
      <c r="C83" s="71">
        <v>3533.47571</v>
      </c>
      <c r="D83" s="71">
        <v>2835.64259</v>
      </c>
      <c r="E83" s="29">
        <f>$D:$D/$B:$B*100</f>
        <v>18.05483982905591</v>
      </c>
      <c r="F83" s="29">
        <v>0</v>
      </c>
      <c r="G83" s="28">
        <v>3387</v>
      </c>
      <c r="H83" s="29">
        <f>$D:$D/$G:$G*100</f>
        <v>83.721363743726</v>
      </c>
      <c r="I83" s="36">
        <f>D84</f>
        <v>0</v>
      </c>
    </row>
    <row r="84" spans="1:9" ht="12.75" hidden="1">
      <c r="A84" s="8" t="s">
        <v>28</v>
      </c>
      <c r="B84" s="36">
        <v>0</v>
      </c>
      <c r="C84" s="71">
        <v>0</v>
      </c>
      <c r="D84" s="71">
        <v>0</v>
      </c>
      <c r="E84" s="29">
        <v>0</v>
      </c>
      <c r="F84" s="29">
        <v>0</v>
      </c>
      <c r="G84" s="36">
        <v>0</v>
      </c>
      <c r="H84" s="29">
        <v>0</v>
      </c>
      <c r="I84" s="36">
        <f>D85</f>
        <v>0</v>
      </c>
    </row>
    <row r="85" spans="1:9" ht="12.75">
      <c r="A85" s="8" t="s">
        <v>29</v>
      </c>
      <c r="B85" s="36">
        <f>1000000/1000</f>
        <v>1000</v>
      </c>
      <c r="C85" s="71">
        <v>0</v>
      </c>
      <c r="D85" s="71">
        <v>0</v>
      </c>
      <c r="E85" s="29">
        <f>$D:$D/$B:$B*100</f>
        <v>0</v>
      </c>
      <c r="F85" s="29">
        <v>0</v>
      </c>
      <c r="G85" s="36">
        <v>0</v>
      </c>
      <c r="H85" s="29">
        <v>0</v>
      </c>
      <c r="I85" s="36">
        <f>D86</f>
        <v>9036.6106</v>
      </c>
    </row>
    <row r="86" spans="1:9" ht="12.75">
      <c r="A86" s="1" t="s">
        <v>30</v>
      </c>
      <c r="B86" s="36">
        <f>221774883/1000</f>
        <v>221774.883</v>
      </c>
      <c r="C86" s="71">
        <v>9247.202720000001</v>
      </c>
      <c r="D86" s="71">
        <v>9036.6106</v>
      </c>
      <c r="E86" s="29">
        <f>$D:$D/$B:$B*100</f>
        <v>4.0746772031889655</v>
      </c>
      <c r="F86" s="29">
        <f>$D:$D/$C:$C*100</f>
        <v>97.7226397389934</v>
      </c>
      <c r="G86" s="36">
        <v>8719.1</v>
      </c>
      <c r="H86" s="29">
        <f>$D:$D/$G:$G*100</f>
        <v>103.6415524538083</v>
      </c>
      <c r="I86" s="36">
        <f>D87</f>
        <v>73.19835</v>
      </c>
    </row>
    <row r="87" spans="1:9" ht="12.75">
      <c r="A87" s="7" t="s">
        <v>31</v>
      </c>
      <c r="B87" s="27">
        <f>428600/1000</f>
        <v>428.6</v>
      </c>
      <c r="C87" s="71">
        <v>73.19835</v>
      </c>
      <c r="D87" s="71">
        <v>73.19835</v>
      </c>
      <c r="E87" s="26">
        <f>$D:$D/$B:$B*100</f>
        <v>17.078476434904342</v>
      </c>
      <c r="F87" s="26">
        <f>$D:$D/$C:$C*100</f>
        <v>100</v>
      </c>
      <c r="G87" s="35">
        <v>75.3</v>
      </c>
      <c r="H87" s="26">
        <v>0</v>
      </c>
      <c r="I87" s="35">
        <f>D87</f>
        <v>73.19835</v>
      </c>
    </row>
    <row r="88" spans="1:9" ht="25.5">
      <c r="A88" s="9" t="s">
        <v>32</v>
      </c>
      <c r="B88" s="27">
        <f>4928424.15/1000</f>
        <v>4928.424150000001</v>
      </c>
      <c r="C88" s="71">
        <v>905.74337</v>
      </c>
      <c r="D88" s="71">
        <v>902.92782</v>
      </c>
      <c r="E88" s="26">
        <f>$D:$D/$B:$B*100</f>
        <v>18.320822082652928</v>
      </c>
      <c r="F88" s="26">
        <f>$D:$D/$C:$C*100</f>
        <v>99.68914484022113</v>
      </c>
      <c r="G88" s="27">
        <v>1099.6</v>
      </c>
      <c r="H88" s="26">
        <f>$D:$D/$G:$G*100</f>
        <v>82.11420698435795</v>
      </c>
      <c r="I88" s="35">
        <f t="shared" si="0"/>
        <v>902.92782</v>
      </c>
    </row>
    <row r="89" spans="1:9" ht="12.75">
      <c r="A89" s="7" t="s">
        <v>33</v>
      </c>
      <c r="B89" s="35">
        <f>B90+B91+B92+B93+B94</f>
        <v>112585.3138</v>
      </c>
      <c r="C89" s="30">
        <f>C90+C91+C92+C93+C94</f>
        <v>10663.52235</v>
      </c>
      <c r="D89" s="30">
        <f>D90+D91+D92+D93+D94</f>
        <v>10592.23345</v>
      </c>
      <c r="E89" s="26">
        <f>$D:$D/$B:$B*100</f>
        <v>9.408183973991818</v>
      </c>
      <c r="F89" s="26">
        <f>$D:$D/$C:$C*100</f>
        <v>99.33146949328615</v>
      </c>
      <c r="G89" s="35">
        <f>G90+G91+G92+G93+G94</f>
        <v>12996.2</v>
      </c>
      <c r="H89" s="26">
        <f>$D:$D/$G:$G*100</f>
        <v>81.50254266631785</v>
      </c>
      <c r="I89" s="35">
        <f t="shared" si="0"/>
        <v>10592.23345</v>
      </c>
    </row>
    <row r="90" spans="1:9" ht="12.75" customHeight="1" hidden="1">
      <c r="A90" s="10" t="s">
        <v>64</v>
      </c>
      <c r="B90" s="36"/>
      <c r="C90" s="82"/>
      <c r="D90" s="82"/>
      <c r="E90" s="29">
        <v>0</v>
      </c>
      <c r="F90" s="29">
        <v>0</v>
      </c>
      <c r="G90" s="36"/>
      <c r="H90" s="29">
        <v>0</v>
      </c>
      <c r="I90" s="36">
        <f t="shared" si="0"/>
        <v>0</v>
      </c>
    </row>
    <row r="91" spans="1:9" ht="12.75" customHeight="1">
      <c r="A91" s="10" t="s">
        <v>67</v>
      </c>
      <c r="B91" s="36">
        <f>550000/1000</f>
        <v>550</v>
      </c>
      <c r="C91" s="71">
        <v>0</v>
      </c>
      <c r="D91" s="71">
        <v>0</v>
      </c>
      <c r="E91" s="29">
        <v>0</v>
      </c>
      <c r="F91" s="29">
        <v>0</v>
      </c>
      <c r="G91" s="36">
        <v>0</v>
      </c>
      <c r="H91" s="29">
        <v>0</v>
      </c>
      <c r="I91" s="36">
        <f t="shared" si="0"/>
        <v>0</v>
      </c>
    </row>
    <row r="92" spans="1:9" ht="12.75">
      <c r="A92" s="8" t="s">
        <v>34</v>
      </c>
      <c r="B92" s="36">
        <f>27875603.8/1000</f>
        <v>27875.6038</v>
      </c>
      <c r="C92" s="71">
        <v>4448.69449</v>
      </c>
      <c r="D92" s="71">
        <v>4448.69449</v>
      </c>
      <c r="E92" s="29">
        <f>$D:$D/$B:$B*100</f>
        <v>15.959096426818922</v>
      </c>
      <c r="F92" s="29">
        <v>0</v>
      </c>
      <c r="G92" s="36">
        <v>4216.7</v>
      </c>
      <c r="H92" s="29">
        <v>0</v>
      </c>
      <c r="I92" s="36">
        <f t="shared" si="0"/>
        <v>4448.69449</v>
      </c>
    </row>
    <row r="93" spans="1:9" ht="12.75">
      <c r="A93" s="10" t="s">
        <v>77</v>
      </c>
      <c r="B93" s="28">
        <f>65418760/1000</f>
        <v>65418.76</v>
      </c>
      <c r="C93" s="71">
        <v>3338.40238</v>
      </c>
      <c r="D93" s="71">
        <v>3338.40238</v>
      </c>
      <c r="E93" s="29">
        <f>$D:$D/$B:$B*100</f>
        <v>5.103126962357587</v>
      </c>
      <c r="F93" s="29">
        <f>$D:$D/$C:$C*100</f>
        <v>100</v>
      </c>
      <c r="G93" s="28">
        <v>6410</v>
      </c>
      <c r="H93" s="29">
        <v>0</v>
      </c>
      <c r="I93" s="36">
        <f t="shared" si="0"/>
        <v>3338.40238</v>
      </c>
    </row>
    <row r="94" spans="1:9" ht="12.75">
      <c r="A94" s="8" t="s">
        <v>35</v>
      </c>
      <c r="B94" s="36">
        <f>18740950/1000</f>
        <v>18740.95</v>
      </c>
      <c r="C94" s="71">
        <v>2876.42548</v>
      </c>
      <c r="D94" s="71">
        <v>2805.13658</v>
      </c>
      <c r="E94" s="29">
        <f>$D:$D/$B:$B*100</f>
        <v>14.96795295862803</v>
      </c>
      <c r="F94" s="29">
        <f>$D:$D/$C:$C*100</f>
        <v>97.52161491769292</v>
      </c>
      <c r="G94" s="36">
        <v>2369.5</v>
      </c>
      <c r="H94" s="29">
        <f>$D:$D/$G:$G*100</f>
        <v>118.38516902300063</v>
      </c>
      <c r="I94" s="36">
        <f t="shared" si="0"/>
        <v>2805.13658</v>
      </c>
    </row>
    <row r="95" spans="1:9" ht="12.75">
      <c r="A95" s="7" t="s">
        <v>36</v>
      </c>
      <c r="B95" s="35">
        <f>B97+B98+B99+B96</f>
        <v>477755.80864</v>
      </c>
      <c r="C95" s="85">
        <f>C97+C98+C99+C96</f>
        <v>29984.513940000004</v>
      </c>
      <c r="D95" s="30">
        <f>D97+D98+D99+D96</f>
        <v>12428.22898</v>
      </c>
      <c r="E95" s="35">
        <f>E98+E99+E96</f>
        <v>6.680667988033177</v>
      </c>
      <c r="F95" s="26">
        <f>$D:$D/$C:$C*100</f>
        <v>41.44882590016064</v>
      </c>
      <c r="G95" s="35">
        <f>G97+G98+G99+G96</f>
        <v>15026.3</v>
      </c>
      <c r="H95" s="35">
        <f>H97+H98+H99</f>
        <v>171.46763998713718</v>
      </c>
      <c r="I95" s="35">
        <f t="shared" si="0"/>
        <v>12428.22898</v>
      </c>
    </row>
    <row r="96" spans="1:9" ht="12.75">
      <c r="A96" s="8" t="s">
        <v>37</v>
      </c>
      <c r="B96" s="71">
        <f>35000000/1000</f>
        <v>35000</v>
      </c>
      <c r="C96" s="71">
        <v>0</v>
      </c>
      <c r="D96" s="71">
        <v>0</v>
      </c>
      <c r="E96" s="48">
        <v>0</v>
      </c>
      <c r="F96" s="29">
        <v>0</v>
      </c>
      <c r="G96" s="49">
        <v>480</v>
      </c>
      <c r="H96" s="29">
        <v>0</v>
      </c>
      <c r="I96" s="36">
        <f t="shared" si="0"/>
        <v>0</v>
      </c>
    </row>
    <row r="97" spans="1:9" ht="12.75">
      <c r="A97" s="8" t="s">
        <v>38</v>
      </c>
      <c r="B97" s="36">
        <f>30675160/1000</f>
        <v>30675.16</v>
      </c>
      <c r="C97" s="71">
        <v>284.3</v>
      </c>
      <c r="D97" s="71">
        <v>0</v>
      </c>
      <c r="E97" s="29">
        <f>$D:$D/$B:$B*100</f>
        <v>0</v>
      </c>
      <c r="F97" s="29">
        <v>0</v>
      </c>
      <c r="G97" s="36">
        <v>0</v>
      </c>
      <c r="H97" s="29">
        <v>0</v>
      </c>
      <c r="I97" s="36">
        <f t="shared" si="0"/>
        <v>0</v>
      </c>
    </row>
    <row r="98" spans="1:9" ht="12.75">
      <c r="A98" s="8" t="s">
        <v>39</v>
      </c>
      <c r="B98" s="36">
        <f>290979247.99/1000</f>
        <v>290979.24799</v>
      </c>
      <c r="C98" s="71">
        <v>7430.181890000001</v>
      </c>
      <c r="D98" s="71">
        <v>7430.18189</v>
      </c>
      <c r="E98" s="29">
        <f>$D:$D/$B:$B*100</f>
        <v>2.553509207727195</v>
      </c>
      <c r="F98" s="29">
        <f>$D:$D/$C:$C*100</f>
        <v>99.99999999999999</v>
      </c>
      <c r="G98" s="36">
        <v>8809.9</v>
      </c>
      <c r="H98" s="29">
        <f>$D:$D/$G:$G*100</f>
        <v>84.33900373443512</v>
      </c>
      <c r="I98" s="36">
        <f t="shared" si="0"/>
        <v>7430.18189</v>
      </c>
    </row>
    <row r="99" spans="1:9" ht="12.75">
      <c r="A99" s="8" t="s">
        <v>40</v>
      </c>
      <c r="B99" s="36">
        <f>121101400.65/1000</f>
        <v>121101.40065000001</v>
      </c>
      <c r="C99" s="71">
        <v>22270.03205</v>
      </c>
      <c r="D99" s="71">
        <v>4998.04709</v>
      </c>
      <c r="E99" s="29">
        <f>$D:$D/$B:$B*100</f>
        <v>4.127158780305981</v>
      </c>
      <c r="F99" s="29">
        <f>$D:$D/$C:$C*100</f>
        <v>22.442927243115484</v>
      </c>
      <c r="G99" s="36">
        <v>5736.4</v>
      </c>
      <c r="H99" s="29">
        <f>$D:$D/$G:$G*100</f>
        <v>87.12863625270205</v>
      </c>
      <c r="I99" s="36">
        <f t="shared" si="0"/>
        <v>4998.04709</v>
      </c>
    </row>
    <row r="100" spans="1:9" ht="12.75">
      <c r="A100" s="11" t="s">
        <v>115</v>
      </c>
      <c r="B100" s="35">
        <f>B101</f>
        <v>1950.5</v>
      </c>
      <c r="C100" s="30">
        <f>C101</f>
        <v>127.74</v>
      </c>
      <c r="D100" s="30">
        <f>D101</f>
        <v>127.74</v>
      </c>
      <c r="E100" s="26">
        <f>$D:$D/$B:$B*100</f>
        <v>6.549089976928993</v>
      </c>
      <c r="F100" s="26"/>
      <c r="G100" s="35">
        <f>G101</f>
        <v>136.6</v>
      </c>
      <c r="H100" s="26">
        <v>0</v>
      </c>
      <c r="I100" s="35">
        <f t="shared" si="0"/>
        <v>127.74</v>
      </c>
    </row>
    <row r="101" spans="1:9" ht="25.5">
      <c r="A101" s="41" t="s">
        <v>143</v>
      </c>
      <c r="B101" s="36">
        <f>1950500/1000</f>
        <v>1950.5</v>
      </c>
      <c r="C101" s="71">
        <v>127.74</v>
      </c>
      <c r="D101" s="71">
        <v>127.74</v>
      </c>
      <c r="E101" s="29">
        <f>$D:$D/$B:$B*100</f>
        <v>6.549089976928993</v>
      </c>
      <c r="F101" s="29"/>
      <c r="G101" s="36">
        <v>136.6</v>
      </c>
      <c r="H101" s="29">
        <v>0</v>
      </c>
      <c r="I101" s="36">
        <f t="shared" si="0"/>
        <v>127.74</v>
      </c>
    </row>
    <row r="102" spans="1:9" ht="12.75">
      <c r="A102" s="11" t="s">
        <v>41</v>
      </c>
      <c r="B102" s="35">
        <f>B103+B104+B106+B107+B108+B105</f>
        <v>1605135.2870000005</v>
      </c>
      <c r="C102" s="30">
        <f>C103+C104+C106+C107+C108+C105</f>
        <v>310360.28459999996</v>
      </c>
      <c r="D102" s="30">
        <f>D103+D104+D106+D107+D108+D105</f>
        <v>310226.97911</v>
      </c>
      <c r="E102" s="35">
        <f>E103+E104+E107+E108+E106</f>
        <v>72.90581485579395</v>
      </c>
      <c r="F102" s="35">
        <f>F103+F104+F107+F108+F106</f>
        <v>499.62218385137123</v>
      </c>
      <c r="G102" s="35">
        <f>G103+G104+G105+G107+G108+G106</f>
        <v>290002.26</v>
      </c>
      <c r="H102" s="35">
        <f>H103+H104+H107+H108+H106</f>
        <v>420.7358927413277</v>
      </c>
      <c r="I102" s="35">
        <f t="shared" si="0"/>
        <v>310226.97911</v>
      </c>
    </row>
    <row r="103" spans="1:9" ht="12.75">
      <c r="A103" s="8" t="s">
        <v>42</v>
      </c>
      <c r="B103" s="36">
        <f>601601900/1000</f>
        <v>601601.9</v>
      </c>
      <c r="C103" s="71">
        <v>123503.9636</v>
      </c>
      <c r="D103" s="71">
        <v>123499.6752</v>
      </c>
      <c r="E103" s="29">
        <f>$D:$D/$B:$B*100</f>
        <v>20.52847160223397</v>
      </c>
      <c r="F103" s="29">
        <f>$D:$D/$C:$C*100</f>
        <v>99.99652772277504</v>
      </c>
      <c r="G103" s="36">
        <v>114494</v>
      </c>
      <c r="H103" s="29">
        <f>$D:$D/$G:$G*100</f>
        <v>107.86563068807098</v>
      </c>
      <c r="I103" s="36">
        <f t="shared" si="0"/>
        <v>123499.6752</v>
      </c>
    </row>
    <row r="104" spans="1:9" ht="12.75">
      <c r="A104" s="8" t="s">
        <v>43</v>
      </c>
      <c r="B104" s="36">
        <f>636730121/1000</f>
        <v>636730.121</v>
      </c>
      <c r="C104" s="71">
        <v>121792.82254</v>
      </c>
      <c r="D104" s="71">
        <v>121792.82254000001</v>
      </c>
      <c r="E104" s="29">
        <f>$D:$D/$B:$B*100</f>
        <v>19.127856296278466</v>
      </c>
      <c r="F104" s="29">
        <f>$D:$D/$C:$C*100</f>
        <v>100.00000000000003</v>
      </c>
      <c r="G104" s="36">
        <v>114592.9</v>
      </c>
      <c r="H104" s="29">
        <f>$D:$D/$G:$G*100</f>
        <v>106.28304418511097</v>
      </c>
      <c r="I104" s="36">
        <f t="shared" si="0"/>
        <v>121792.82254000001</v>
      </c>
    </row>
    <row r="105" spans="1:9" ht="12.75">
      <c r="A105" s="22" t="s">
        <v>105</v>
      </c>
      <c r="B105" s="36">
        <f>141129380/1000</f>
        <v>141129.38</v>
      </c>
      <c r="C105" s="71">
        <v>25932.50765</v>
      </c>
      <c r="D105" s="71">
        <v>25932.50765</v>
      </c>
      <c r="E105" s="29">
        <f>$D:$D/$B:$B*100</f>
        <v>18.374988716027804</v>
      </c>
      <c r="F105" s="29">
        <f>$D:$D/$C:$C*100</f>
        <v>100</v>
      </c>
      <c r="G105" s="36">
        <v>24997.86</v>
      </c>
      <c r="H105" s="29">
        <f>$D:$D/$G:$G*100</f>
        <v>103.73891065075169</v>
      </c>
      <c r="I105" s="36">
        <f t="shared" si="0"/>
        <v>25932.50765</v>
      </c>
    </row>
    <row r="106" spans="1:9" ht="25.5">
      <c r="A106" s="8" t="s">
        <v>123</v>
      </c>
      <c r="B106" s="36">
        <f>1704870/1000</f>
        <v>1704.87</v>
      </c>
      <c r="C106" s="71">
        <v>76.24</v>
      </c>
      <c r="D106" s="71">
        <v>76.24</v>
      </c>
      <c r="E106" s="29">
        <f>$D:$D/$B:$B*100</f>
        <v>4.4718952178171945</v>
      </c>
      <c r="F106" s="29">
        <f>$D:$D/$C:$C*100</f>
        <v>100</v>
      </c>
      <c r="G106" s="36">
        <v>82.9</v>
      </c>
      <c r="H106" s="29">
        <v>0</v>
      </c>
      <c r="I106" s="36">
        <f t="shared" si="0"/>
        <v>76.24</v>
      </c>
    </row>
    <row r="107" spans="1:9" ht="12.75">
      <c r="A107" s="8" t="s">
        <v>44</v>
      </c>
      <c r="B107" s="36">
        <f>52293739/1000</f>
        <v>52293.739</v>
      </c>
      <c r="C107" s="71">
        <v>4589.89113</v>
      </c>
      <c r="D107" s="71">
        <v>4589.89113</v>
      </c>
      <c r="E107" s="29">
        <f>$D:$D/$B:$B*100</f>
        <v>8.777133205181599</v>
      </c>
      <c r="F107" s="29">
        <f>$D:$D/$C:$C*100</f>
        <v>100</v>
      </c>
      <c r="G107" s="36">
        <v>4780.1</v>
      </c>
      <c r="H107" s="29">
        <f>$D:$D/$G:$G*100</f>
        <v>96.02081818372</v>
      </c>
      <c r="I107" s="36">
        <f t="shared" si="0"/>
        <v>4589.89113</v>
      </c>
    </row>
    <row r="108" spans="1:9" ht="12.75">
      <c r="A108" s="8" t="s">
        <v>45</v>
      </c>
      <c r="B108" s="36">
        <f>171675277/1000</f>
        <v>171675.277</v>
      </c>
      <c r="C108" s="71">
        <v>34464.85968</v>
      </c>
      <c r="D108" s="71">
        <v>34335.84259</v>
      </c>
      <c r="E108" s="29">
        <f>$D:$D/$B:$B*100</f>
        <v>20.00045853428272</v>
      </c>
      <c r="F108" s="29">
        <f>$D:$D/$C:$C*100</f>
        <v>99.62565612859619</v>
      </c>
      <c r="G108" s="28">
        <v>31054.5</v>
      </c>
      <c r="H108" s="29">
        <f>$D:$D/$G:$G*100</f>
        <v>110.56639968442576</v>
      </c>
      <c r="I108" s="36">
        <f t="shared" si="0"/>
        <v>34335.84259</v>
      </c>
    </row>
    <row r="109" spans="1:9" ht="25.5">
      <c r="A109" s="11" t="s">
        <v>46</v>
      </c>
      <c r="B109" s="35">
        <f>B110+B111</f>
        <v>281596.454</v>
      </c>
      <c r="C109" s="30">
        <f>C110+C111</f>
        <v>25614.88217</v>
      </c>
      <c r="D109" s="30">
        <f>D110+D111</f>
        <v>25614.88217</v>
      </c>
      <c r="E109" s="26">
        <f>$D:$D/$B:$B*100</f>
        <v>9.096308496129001</v>
      </c>
      <c r="F109" s="26">
        <f>$D:$D/$C:$C*100</f>
        <v>100</v>
      </c>
      <c r="G109" s="35">
        <f>G110+G111</f>
        <v>23355.1</v>
      </c>
      <c r="H109" s="26">
        <f>$D:$D/$G:$G*100</f>
        <v>109.67575463175068</v>
      </c>
      <c r="I109" s="35">
        <f t="shared" si="0"/>
        <v>25614.88217</v>
      </c>
    </row>
    <row r="110" spans="1:9" ht="12.75">
      <c r="A110" s="8" t="s">
        <v>47</v>
      </c>
      <c r="B110" s="36">
        <f>196946894/1000</f>
        <v>196946.894</v>
      </c>
      <c r="C110" s="71">
        <v>25140.84447</v>
      </c>
      <c r="D110" s="71">
        <v>25140.84447</v>
      </c>
      <c r="E110" s="29">
        <f>$D:$D/$B:$B*100</f>
        <v>12.765291170319243</v>
      </c>
      <c r="F110" s="29">
        <f>$D:$D/$C:$C*100</f>
        <v>100</v>
      </c>
      <c r="G110" s="36">
        <v>22723.6</v>
      </c>
      <c r="H110" s="29">
        <f>$D:$D/$G:$G*100</f>
        <v>110.63759470330406</v>
      </c>
      <c r="I110" s="36">
        <f t="shared" si="0"/>
        <v>25140.84447</v>
      </c>
    </row>
    <row r="111" spans="1:9" ht="25.5">
      <c r="A111" s="8" t="s">
        <v>48</v>
      </c>
      <c r="B111" s="36">
        <f>84649560/1000</f>
        <v>84649.56</v>
      </c>
      <c r="C111" s="71">
        <v>474.0377</v>
      </c>
      <c r="D111" s="71">
        <v>474.03770000000003</v>
      </c>
      <c r="E111" s="29">
        <f>$D:$D/$B:$B*100</f>
        <v>0.560000193739932</v>
      </c>
      <c r="F111" s="29">
        <f>$D:$D/$C:$C*100</f>
        <v>100.00000000000003</v>
      </c>
      <c r="G111" s="36">
        <v>631.5</v>
      </c>
      <c r="H111" s="29">
        <v>0</v>
      </c>
      <c r="I111" s="36">
        <f t="shared" si="0"/>
        <v>474.03770000000003</v>
      </c>
    </row>
    <row r="112" spans="1:9" ht="12.75">
      <c r="A112" s="11" t="s">
        <v>97</v>
      </c>
      <c r="B112" s="35">
        <f>B113</f>
        <v>158.13</v>
      </c>
      <c r="C112" s="30">
        <f>C113</f>
        <v>0</v>
      </c>
      <c r="D112" s="30">
        <f>D113</f>
        <v>0</v>
      </c>
      <c r="E112" s="26">
        <f>$D:$D/$B:$B*100</f>
        <v>0</v>
      </c>
      <c r="F112" s="26">
        <v>0</v>
      </c>
      <c r="G112" s="35">
        <f>G113</f>
        <v>0</v>
      </c>
      <c r="H112" s="26">
        <v>0</v>
      </c>
      <c r="I112" s="36">
        <f t="shared" si="0"/>
        <v>0</v>
      </c>
    </row>
    <row r="113" spans="1:9" ht="12.75">
      <c r="A113" s="8" t="s">
        <v>98</v>
      </c>
      <c r="B113" s="36">
        <f>158130/1000</f>
        <v>158.13</v>
      </c>
      <c r="C113" s="82">
        <v>0</v>
      </c>
      <c r="D113" s="82">
        <v>0</v>
      </c>
      <c r="E113" s="29">
        <f>$D:$D/$B:$B*100</f>
        <v>0</v>
      </c>
      <c r="F113" s="29">
        <v>0</v>
      </c>
      <c r="G113" s="36">
        <v>0</v>
      </c>
      <c r="H113" s="29">
        <v>0</v>
      </c>
      <c r="I113" s="36">
        <f t="shared" si="0"/>
        <v>0</v>
      </c>
    </row>
    <row r="114" spans="1:9" ht="12.75">
      <c r="A114" s="11" t="s">
        <v>49</v>
      </c>
      <c r="B114" s="35">
        <f>B115+B116+B117+B118</f>
        <v>176555.7547</v>
      </c>
      <c r="C114" s="30">
        <f>SUM(C115:C118)</f>
        <v>16840.877930000002</v>
      </c>
      <c r="D114" s="30">
        <f>D115++D116+D117+D118</f>
        <v>16840.61793</v>
      </c>
      <c r="E114" s="26">
        <f>$D:$D/$B:$B*100</f>
        <v>9.53841349358181</v>
      </c>
      <c r="F114" s="26">
        <f>$D:$D/$C:$C*100</f>
        <v>99.99845613749424</v>
      </c>
      <c r="G114" s="35">
        <f>G115+G116+G117+G118+G119</f>
        <v>34692.6</v>
      </c>
      <c r="H114" s="26">
        <v>0</v>
      </c>
      <c r="I114" s="36">
        <f t="shared" si="0"/>
        <v>16840.61793</v>
      </c>
    </row>
    <row r="115" spans="1:9" ht="12.75">
      <c r="A115" s="8" t="s">
        <v>50</v>
      </c>
      <c r="B115" s="36">
        <f>2909750/1000</f>
        <v>2909.75</v>
      </c>
      <c r="C115" s="71">
        <v>426.51244</v>
      </c>
      <c r="D115" s="71">
        <v>426.51244</v>
      </c>
      <c r="E115" s="29">
        <f>$D:$D/$B:$B*100</f>
        <v>14.658044161869576</v>
      </c>
      <c r="F115" s="29">
        <v>0</v>
      </c>
      <c r="G115" s="36">
        <v>466</v>
      </c>
      <c r="H115" s="29">
        <v>0</v>
      </c>
      <c r="I115" s="36">
        <f t="shared" si="0"/>
        <v>426.51244</v>
      </c>
    </row>
    <row r="116" spans="1:9" ht="12.75">
      <c r="A116" s="8" t="s">
        <v>52</v>
      </c>
      <c r="B116" s="36">
        <f>87342751.7/1000</f>
        <v>87342.75170000001</v>
      </c>
      <c r="C116" s="71">
        <v>15146.01516</v>
      </c>
      <c r="D116" s="71">
        <v>15146.01516</v>
      </c>
      <c r="E116" s="29">
        <f>$D:$D/$B:$B*100</f>
        <v>17.34089534071778</v>
      </c>
      <c r="F116" s="29">
        <f>$D:$D/$C:$C*100</f>
        <v>100</v>
      </c>
      <c r="G116" s="36">
        <v>16261</v>
      </c>
      <c r="H116" s="29">
        <v>0</v>
      </c>
      <c r="I116" s="36">
        <f t="shared" si="0"/>
        <v>15146.01516</v>
      </c>
    </row>
    <row r="117" spans="1:9" ht="12.75">
      <c r="A117" s="8" t="s">
        <v>53</v>
      </c>
      <c r="B117" s="28">
        <f>84166253/1000</f>
        <v>84166.253</v>
      </c>
      <c r="C117" s="71">
        <v>809.715</v>
      </c>
      <c r="D117" s="71">
        <v>809.455</v>
      </c>
      <c r="E117" s="29">
        <f>$D:$D/$B:$B*100</f>
        <v>0.9617334396483114</v>
      </c>
      <c r="F117" s="29">
        <v>0</v>
      </c>
      <c r="G117" s="28">
        <v>1038.7</v>
      </c>
      <c r="H117" s="29">
        <v>0</v>
      </c>
      <c r="I117" s="36">
        <f t="shared" si="0"/>
        <v>809.455</v>
      </c>
    </row>
    <row r="118" spans="1:9" ht="12.75">
      <c r="A118" s="8" t="s">
        <v>54</v>
      </c>
      <c r="B118" s="36">
        <f>2137000/1000</f>
        <v>2137</v>
      </c>
      <c r="C118" s="71">
        <v>458.63533</v>
      </c>
      <c r="D118" s="71">
        <v>458.63533</v>
      </c>
      <c r="E118" s="29">
        <f>$D:$D/$B:$B*100</f>
        <v>21.461643893308377</v>
      </c>
      <c r="F118" s="29">
        <f>$D:$D/$C:$C*100</f>
        <v>100</v>
      </c>
      <c r="G118" s="36">
        <v>509.8</v>
      </c>
      <c r="H118" s="29">
        <f>$D:$D/$G:$G*100</f>
        <v>89.96377599058454</v>
      </c>
      <c r="I118" s="36">
        <f t="shared" si="0"/>
        <v>458.63533</v>
      </c>
    </row>
    <row r="119" spans="1:9" ht="12.75">
      <c r="A119" s="11" t="s">
        <v>61</v>
      </c>
      <c r="B119" s="27">
        <f>B120+B121+B122</f>
        <v>210722.454</v>
      </c>
      <c r="C119" s="85">
        <f>C120+C121+C122</f>
        <v>17151.1631</v>
      </c>
      <c r="D119" s="85">
        <f>D120+D121+D122</f>
        <v>16917.542739999997</v>
      </c>
      <c r="E119" s="26">
        <f>$D:$D/$B:$B*100</f>
        <v>8.028353134118301</v>
      </c>
      <c r="F119" s="26">
        <f>$D:$D/$C:$C*100</f>
        <v>98.63787453575085</v>
      </c>
      <c r="G119" s="27">
        <f>G120+G121+G122</f>
        <v>16417.1</v>
      </c>
      <c r="H119" s="26">
        <f>$D:$D/$G:$G*100</f>
        <v>103.04830170980257</v>
      </c>
      <c r="I119" s="36">
        <f t="shared" si="0"/>
        <v>16917.542739999997</v>
      </c>
    </row>
    <row r="120" spans="1:9" ht="12.75">
      <c r="A120" s="41" t="s">
        <v>62</v>
      </c>
      <c r="B120" s="28">
        <f>99648015.86/1000</f>
        <v>99648.01586</v>
      </c>
      <c r="C120" s="71">
        <v>15542.313370000002</v>
      </c>
      <c r="D120" s="71">
        <v>15542.313289999998</v>
      </c>
      <c r="E120" s="29">
        <f>$D:$D/$B:$B*100</f>
        <v>15.59721300606336</v>
      </c>
      <c r="F120" s="29">
        <f>$D:$D/$C:$C*100</f>
        <v>99.99999948527609</v>
      </c>
      <c r="G120" s="28">
        <v>14557.2</v>
      </c>
      <c r="H120" s="29">
        <v>0</v>
      </c>
      <c r="I120" s="36">
        <f t="shared" si="0"/>
        <v>15542.313289999998</v>
      </c>
    </row>
    <row r="121" spans="1:9" ht="24.75" customHeight="1">
      <c r="A121" s="12" t="s">
        <v>63</v>
      </c>
      <c r="B121" s="28">
        <f>106942468.14/1000</f>
        <v>106942.46814</v>
      </c>
      <c r="C121" s="71">
        <v>602.9848400000001</v>
      </c>
      <c r="D121" s="71">
        <v>602.98484</v>
      </c>
      <c r="E121" s="29">
        <v>0</v>
      </c>
      <c r="F121" s="29">
        <v>0</v>
      </c>
      <c r="G121" s="28">
        <v>976.8</v>
      </c>
      <c r="H121" s="29">
        <v>0</v>
      </c>
      <c r="I121" s="36">
        <f t="shared" si="0"/>
        <v>602.98484</v>
      </c>
    </row>
    <row r="122" spans="1:9" ht="25.5">
      <c r="A122" s="12" t="s">
        <v>73</v>
      </c>
      <c r="B122" s="28">
        <f>4131970/1000</f>
        <v>4131.97</v>
      </c>
      <c r="C122" s="71">
        <v>1005.8648900000001</v>
      </c>
      <c r="D122" s="71">
        <v>772.24461</v>
      </c>
      <c r="E122" s="29">
        <f>$D:$D/$B:$B*100</f>
        <v>18.689501859887656</v>
      </c>
      <c r="F122" s="29">
        <f>$D:$D/$C:$C*100</f>
        <v>76.77418882768639</v>
      </c>
      <c r="G122" s="28">
        <v>883.1</v>
      </c>
      <c r="H122" s="29">
        <v>0</v>
      </c>
      <c r="I122" s="36">
        <f t="shared" si="0"/>
        <v>772.24461</v>
      </c>
    </row>
    <row r="123" spans="1:9" ht="26.25" customHeight="1">
      <c r="A123" s="13" t="s">
        <v>80</v>
      </c>
      <c r="B123" s="27">
        <f>B124</f>
        <v>100</v>
      </c>
      <c r="C123" s="71">
        <v>2.01384</v>
      </c>
      <c r="D123" s="71">
        <v>2.01384</v>
      </c>
      <c r="E123" s="29">
        <f>$D:$D/$B:$B*100</f>
        <v>2.01384</v>
      </c>
      <c r="F123" s="29">
        <v>0</v>
      </c>
      <c r="G123" s="27">
        <f>G124</f>
        <v>0</v>
      </c>
      <c r="H123" s="29">
        <v>0</v>
      </c>
      <c r="I123" s="36">
        <f t="shared" si="0"/>
        <v>2.01384</v>
      </c>
    </row>
    <row r="124" spans="1:9" ht="13.5" customHeight="1">
      <c r="A124" s="12" t="s">
        <v>81</v>
      </c>
      <c r="B124" s="28">
        <v>100</v>
      </c>
      <c r="C124" s="82">
        <f>2013.84/1000</f>
        <v>2.01384</v>
      </c>
      <c r="D124" s="82">
        <f>2013.84/1000</f>
        <v>2.01384</v>
      </c>
      <c r="E124" s="29">
        <f>$D:$D/$B:$B*100</f>
        <v>2.01384</v>
      </c>
      <c r="F124" s="29">
        <v>0</v>
      </c>
      <c r="G124" s="28">
        <v>0</v>
      </c>
      <c r="H124" s="29">
        <v>0</v>
      </c>
      <c r="I124" s="36">
        <f t="shared" si="0"/>
        <v>2.01384</v>
      </c>
    </row>
    <row r="125" spans="1:9" ht="15.75" customHeight="1">
      <c r="A125" s="14" t="s">
        <v>55</v>
      </c>
      <c r="B125" s="35">
        <f>B78+B87+B88+B89+B95+B102+B109+B112+B114+B119+B123+B100</f>
        <v>3184127.3692900003</v>
      </c>
      <c r="C125" s="35">
        <f>C78+C87+C88+C89+C95+C102+C109+C112+C114+C119+C123+C100</f>
        <v>441334.43043</v>
      </c>
      <c r="D125" s="35">
        <f>D78+D87+D88+D89+D95+D102+D109+D112+D114+D119+D123+D100</f>
        <v>421362.94799</v>
      </c>
      <c r="E125" s="26">
        <f>$D:$D/$B:$B*100</f>
        <v>13.233231561460931</v>
      </c>
      <c r="F125" s="26">
        <f>$D:$D/$C:$C*100</f>
        <v>95.4747508775734</v>
      </c>
      <c r="G125" s="35">
        <f>G77+G86+G87+G88+G94+G101+G108+G111+G113+G119+G123+G99</f>
        <v>66239.59999999999</v>
      </c>
      <c r="H125" s="26">
        <f>$D:$D/$G:$G*100</f>
        <v>636.1194028798484</v>
      </c>
      <c r="I125" s="35">
        <f>I78+I87+I88+I89+I95+I102+I109+I112+I114+I119+I123</f>
        <v>421138.40634000005</v>
      </c>
    </row>
    <row r="126" spans="1:9" ht="26.25" customHeight="1">
      <c r="A126" s="15" t="s">
        <v>56</v>
      </c>
      <c r="B126" s="30">
        <f>B72-B125</f>
        <v>-74025.13252000045</v>
      </c>
      <c r="C126" s="30">
        <f>C72-C125</f>
        <v>58857.63024000003</v>
      </c>
      <c r="D126" s="30">
        <f>D72-D125</f>
        <v>49046.340079999994</v>
      </c>
      <c r="E126" s="30"/>
      <c r="F126" s="30"/>
      <c r="G126" s="30">
        <f>G75-G125</f>
        <v>-66239.59999999999</v>
      </c>
      <c r="H126" s="30"/>
      <c r="I126" s="30">
        <f>I72-I125</f>
        <v>-246191.71475000004</v>
      </c>
    </row>
    <row r="127" spans="1:9" ht="24" customHeight="1">
      <c r="A127" s="1" t="s">
        <v>57</v>
      </c>
      <c r="B127" s="28" t="s">
        <v>165</v>
      </c>
      <c r="C127" s="28"/>
      <c r="D127" s="28" t="s">
        <v>160</v>
      </c>
      <c r="E127" s="28"/>
      <c r="F127" s="28"/>
      <c r="G127" s="28" t="s">
        <v>161</v>
      </c>
      <c r="H127" s="27"/>
      <c r="I127" s="28"/>
    </row>
    <row r="128" spans="1:9" ht="12.75">
      <c r="A128" s="3" t="s">
        <v>58</v>
      </c>
      <c r="B128" s="43">
        <f>B130+B131</f>
        <v>42871.7</v>
      </c>
      <c r="C128" s="43"/>
      <c r="D128" s="43">
        <f>D130+D131</f>
        <v>79891.2</v>
      </c>
      <c r="E128" s="28"/>
      <c r="F128" s="28"/>
      <c r="G128" s="27">
        <f>G130+G131</f>
        <v>40741.8</v>
      </c>
      <c r="H128" s="37"/>
      <c r="I128" s="28">
        <f>D128</f>
        <v>79891.2</v>
      </c>
    </row>
    <row r="129" spans="1:9" ht="12" customHeight="1">
      <c r="A129" s="1" t="s">
        <v>6</v>
      </c>
      <c r="B129" s="44"/>
      <c r="C129" s="28"/>
      <c r="D129" s="28"/>
      <c r="E129" s="28"/>
      <c r="F129" s="28"/>
      <c r="G129" s="28"/>
      <c r="H129" s="37"/>
      <c r="I129" s="28"/>
    </row>
    <row r="130" spans="1:9" ht="12.75">
      <c r="A130" s="5" t="s">
        <v>59</v>
      </c>
      <c r="B130" s="44">
        <f>Февраль!B130</f>
        <v>24892.3</v>
      </c>
      <c r="C130" s="28"/>
      <c r="D130" s="28">
        <v>13531.9</v>
      </c>
      <c r="E130" s="28"/>
      <c r="F130" s="28"/>
      <c r="G130" s="28">
        <v>7458.5</v>
      </c>
      <c r="H130" s="37"/>
      <c r="I130" s="28">
        <f>D130</f>
        <v>13531.9</v>
      </c>
    </row>
    <row r="131" spans="1:9" ht="12.75">
      <c r="A131" s="1" t="s">
        <v>60</v>
      </c>
      <c r="B131" s="44">
        <f>Февраль!B131</f>
        <v>17979.4</v>
      </c>
      <c r="C131" s="28"/>
      <c r="D131" s="28">
        <f>79891.2-13531.9</f>
        <v>66359.3</v>
      </c>
      <c r="E131" s="28"/>
      <c r="F131" s="28"/>
      <c r="G131" s="28">
        <f>40741.8-7458.5</f>
        <v>33283.3</v>
      </c>
      <c r="H131" s="37"/>
      <c r="I131" s="28">
        <f>D131</f>
        <v>66359.3</v>
      </c>
    </row>
    <row r="132" spans="1:9" ht="12.75">
      <c r="A132" s="3" t="s">
        <v>99</v>
      </c>
      <c r="B132" s="43">
        <f>B133-B134</f>
        <v>52410</v>
      </c>
      <c r="C132" s="40"/>
      <c r="D132" s="27">
        <v>-12050</v>
      </c>
      <c r="E132" s="40"/>
      <c r="F132" s="40"/>
      <c r="G132" s="40">
        <v>0</v>
      </c>
      <c r="H132" s="42"/>
      <c r="I132" s="40"/>
    </row>
    <row r="133" spans="1:9" ht="12.75">
      <c r="A133" s="2" t="s">
        <v>100</v>
      </c>
      <c r="B133" s="44">
        <v>64460</v>
      </c>
      <c r="C133" s="38"/>
      <c r="D133" s="38" t="s">
        <v>149</v>
      </c>
      <c r="E133" s="38"/>
      <c r="F133" s="38"/>
      <c r="G133" s="38">
        <v>0</v>
      </c>
      <c r="H133" s="39"/>
      <c r="I133" s="38">
        <v>0</v>
      </c>
    </row>
    <row r="134" spans="1:9" ht="12.75">
      <c r="A134" s="2" t="s">
        <v>101</v>
      </c>
      <c r="B134" s="44">
        <v>12050</v>
      </c>
      <c r="C134" s="38"/>
      <c r="D134" s="28">
        <v>12050</v>
      </c>
      <c r="E134" s="38"/>
      <c r="F134" s="38"/>
      <c r="G134" s="38">
        <v>0</v>
      </c>
      <c r="H134" s="39"/>
      <c r="I134" s="38">
        <v>0</v>
      </c>
    </row>
    <row r="135" spans="1:9" ht="12.75">
      <c r="A135" s="16"/>
      <c r="B135" s="25"/>
      <c r="C135" s="25"/>
      <c r="D135" s="25"/>
      <c r="E135" s="25"/>
      <c r="F135" s="25"/>
      <c r="G135" s="25"/>
      <c r="H135" s="25"/>
      <c r="I135" s="25"/>
    </row>
    <row r="137" ht="12" customHeight="1">
      <c r="A137" s="22" t="s">
        <v>79</v>
      </c>
    </row>
    <row r="138" ht="12.75" customHeight="1" hidden="1"/>
    <row r="140" spans="1:9" ht="31.5">
      <c r="A140" s="17" t="s">
        <v>103</v>
      </c>
      <c r="B140" s="24"/>
      <c r="C140" s="24"/>
      <c r="D140" s="24" t="s">
        <v>137</v>
      </c>
      <c r="E140" s="24"/>
      <c r="F140" s="24"/>
      <c r="G140" s="24"/>
      <c r="H140" s="24"/>
      <c r="I140" s="25"/>
    </row>
  </sheetData>
  <sheetProtection/>
  <mergeCells count="5">
    <mergeCell ref="A1:H1"/>
    <mergeCell ref="A2:H2"/>
    <mergeCell ref="A3:H3"/>
    <mergeCell ref="A6:I6"/>
    <mergeCell ref="A77:I77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1"/>
  <sheetViews>
    <sheetView tabSelected="1"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30" sqref="B130"/>
    </sheetView>
  </sheetViews>
  <sheetFormatPr defaultColWidth="9.00390625" defaultRowHeight="12.75"/>
  <cols>
    <col min="1" max="1" width="44.875" style="22" customWidth="1"/>
    <col min="2" max="2" width="14.875" style="23" customWidth="1"/>
    <col min="3" max="3" width="13.125" style="23" customWidth="1"/>
    <col min="4" max="4" width="13.375" style="23" customWidth="1"/>
    <col min="5" max="5" width="12.75390625" style="23" customWidth="1"/>
    <col min="6" max="6" width="14.125" style="23" hidden="1" customWidth="1"/>
    <col min="7" max="7" width="13.1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9" t="s">
        <v>102</v>
      </c>
      <c r="B1" s="89"/>
      <c r="C1" s="89"/>
      <c r="D1" s="89"/>
      <c r="E1" s="89"/>
      <c r="F1" s="89"/>
      <c r="G1" s="89"/>
      <c r="H1" s="89"/>
      <c r="I1" s="31"/>
    </row>
    <row r="2" spans="1:9" ht="15">
      <c r="A2" s="90" t="s">
        <v>163</v>
      </c>
      <c r="B2" s="90"/>
      <c r="C2" s="90"/>
      <c r="D2" s="90"/>
      <c r="E2" s="90"/>
      <c r="F2" s="90"/>
      <c r="G2" s="90"/>
      <c r="H2" s="90"/>
      <c r="I2" s="32"/>
    </row>
    <row r="3" spans="1:9" ht="5.25" customHeight="1" hidden="1">
      <c r="A3" s="91" t="s">
        <v>0</v>
      </c>
      <c r="B3" s="91"/>
      <c r="C3" s="91"/>
      <c r="D3" s="91"/>
      <c r="E3" s="91"/>
      <c r="F3" s="91"/>
      <c r="G3" s="91"/>
      <c r="H3" s="91"/>
      <c r="I3" s="33"/>
    </row>
    <row r="4" spans="1:9" ht="45" customHeight="1">
      <c r="A4" s="4" t="s">
        <v>1</v>
      </c>
      <c r="B4" s="18" t="s">
        <v>2</v>
      </c>
      <c r="C4" s="18" t="s">
        <v>164</v>
      </c>
      <c r="D4" s="18" t="s">
        <v>68</v>
      </c>
      <c r="E4" s="18" t="s">
        <v>66</v>
      </c>
      <c r="F4" s="18" t="s">
        <v>69</v>
      </c>
      <c r="G4" s="18" t="s">
        <v>152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2" t="s">
        <v>3</v>
      </c>
      <c r="B6" s="93"/>
      <c r="C6" s="93"/>
      <c r="D6" s="93"/>
      <c r="E6" s="93"/>
      <c r="F6" s="93"/>
      <c r="G6" s="93"/>
      <c r="H6" s="93"/>
      <c r="I6" s="94"/>
    </row>
    <row r="7" spans="1:9" ht="12.75">
      <c r="A7" s="51" t="s">
        <v>104</v>
      </c>
      <c r="B7" s="30">
        <f>B8+B16+B21+B26+B29+B36++B45+B46+B47+B51+B62</f>
        <v>714424.4899999999</v>
      </c>
      <c r="C7" s="30">
        <f>C8+C16+C21+C26+C29</f>
        <v>214352.69875</v>
      </c>
      <c r="D7" s="30">
        <f>D8+D16+D21+D26+D29+D36+D45+D46+D47+D51+D62</f>
        <v>221241.6</v>
      </c>
      <c r="E7" s="98">
        <f>$D:$D/$B:$B*100</f>
        <v>30.96780738857371</v>
      </c>
      <c r="F7" s="98">
        <v>27699.089999999997</v>
      </c>
      <c r="G7" s="30">
        <f>G8+G16+G21+G26+G29+G33+G36+G45+G46+G47+G51+G62</f>
        <v>180839.30000000002</v>
      </c>
      <c r="H7" s="98">
        <f>$D:$D/$G:$G*100</f>
        <v>122.34154854614012</v>
      </c>
      <c r="I7" s="30">
        <f>D7-Март!D7</f>
        <v>51009.10019999996</v>
      </c>
    </row>
    <row r="8" spans="1:9" ht="12.75">
      <c r="A8" s="52" t="s">
        <v>4</v>
      </c>
      <c r="B8" s="98">
        <f>B9+B10</f>
        <v>381187.89999999997</v>
      </c>
      <c r="C8" s="98">
        <f>C9+C10</f>
        <v>136481.98</v>
      </c>
      <c r="D8" s="98">
        <f>D9+D10</f>
        <v>126230.90000000002</v>
      </c>
      <c r="E8" s="98">
        <f>$D:$D/$B:$B*100</f>
        <v>33.11513822972871</v>
      </c>
      <c r="F8" s="98">
        <v>10645.39</v>
      </c>
      <c r="G8" s="98">
        <f>G9+G10</f>
        <v>88490.77</v>
      </c>
      <c r="H8" s="98">
        <f>$D:$D/$G:$G*100</f>
        <v>142.64866267973485</v>
      </c>
      <c r="I8" s="30">
        <f>D8-Март!D8</f>
        <v>16178.763500000015</v>
      </c>
    </row>
    <row r="9" spans="1:9" ht="25.5">
      <c r="A9" s="53" t="s">
        <v>5</v>
      </c>
      <c r="B9" s="99">
        <v>8446.3</v>
      </c>
      <c r="C9" s="99">
        <v>3000</v>
      </c>
      <c r="D9" s="99">
        <v>2223.1</v>
      </c>
      <c r="E9" s="98">
        <f>$D:$D/$B:$B*100</f>
        <v>26.320400648804803</v>
      </c>
      <c r="F9" s="98">
        <v>200.86</v>
      </c>
      <c r="G9" s="99">
        <v>4352.0599999999995</v>
      </c>
      <c r="H9" s="98">
        <f>$D:$D/$G:$G*100</f>
        <v>51.08155678000763</v>
      </c>
      <c r="I9" s="30">
        <f>D9-Март!D9</f>
        <v>205.00874</v>
      </c>
    </row>
    <row r="10" spans="1:9" ht="12.75" customHeight="1">
      <c r="A10" s="54" t="s">
        <v>70</v>
      </c>
      <c r="B10" s="104">
        <f>SUM(B11:B15)</f>
        <v>372741.6</v>
      </c>
      <c r="C10" s="104">
        <f>SUM(C11:C15)</f>
        <v>133481.98</v>
      </c>
      <c r="D10" s="104">
        <f>SUM(D11:D15)</f>
        <v>124007.80000000002</v>
      </c>
      <c r="E10" s="98">
        <f>$D:$D/$B:$B*100</f>
        <v>33.26910653385617</v>
      </c>
      <c r="F10" s="98">
        <v>10444.529999999999</v>
      </c>
      <c r="G10" s="104">
        <f>SUM(G11:G15)</f>
        <v>84138.71</v>
      </c>
      <c r="H10" s="98">
        <f>$D:$D/$G:$G*100</f>
        <v>147.3849551532226</v>
      </c>
      <c r="I10" s="30">
        <f>D10-Март!D10</f>
        <v>15973.75476000001</v>
      </c>
    </row>
    <row r="11" spans="1:9" ht="63.75">
      <c r="A11" s="56" t="s">
        <v>74</v>
      </c>
      <c r="B11" s="85">
        <v>313856.6</v>
      </c>
      <c r="C11" s="85">
        <v>85073.6</v>
      </c>
      <c r="D11" s="85">
        <v>73871.1</v>
      </c>
      <c r="E11" s="98">
        <f>$D:$D/$B:$B*100</f>
        <v>23.536576895308244</v>
      </c>
      <c r="F11" s="98">
        <v>10058</v>
      </c>
      <c r="G11" s="85">
        <v>81902.09999999999</v>
      </c>
      <c r="H11" s="48">
        <f>$D:$D/$G:$G*100</f>
        <v>90.19439062002076</v>
      </c>
      <c r="I11" s="82">
        <f>D11-Март!D11</f>
        <v>14450.646100000005</v>
      </c>
    </row>
    <row r="12" spans="1:9" ht="94.5" customHeight="1">
      <c r="A12" s="56" t="s">
        <v>75</v>
      </c>
      <c r="B12" s="85">
        <v>6481.5</v>
      </c>
      <c r="C12" s="85">
        <v>841.1</v>
      </c>
      <c r="D12" s="85">
        <v>867.9</v>
      </c>
      <c r="E12" s="98">
        <f>$D:$D/$B:$B*100</f>
        <v>13.390418884517471</v>
      </c>
      <c r="F12" s="98">
        <v>81.56</v>
      </c>
      <c r="G12" s="85">
        <v>825.99</v>
      </c>
      <c r="H12" s="48">
        <f>$D:$D/$G:$G*100</f>
        <v>105.0739113064323</v>
      </c>
      <c r="I12" s="82">
        <f>D12-Март!D12</f>
        <v>752.3947499999999</v>
      </c>
    </row>
    <row r="13" spans="1:9" ht="25.5">
      <c r="A13" s="56" t="s">
        <v>76</v>
      </c>
      <c r="B13" s="85">
        <f>3576400/1000</f>
        <v>3576.4</v>
      </c>
      <c r="C13" s="85">
        <v>637</v>
      </c>
      <c r="D13" s="85">
        <v>1510.6</v>
      </c>
      <c r="E13" s="98">
        <f>$D:$D/$B:$B*100</f>
        <v>42.23800469746113</v>
      </c>
      <c r="F13" s="98">
        <v>117.15</v>
      </c>
      <c r="G13" s="85">
        <v>620.16</v>
      </c>
      <c r="H13" s="48">
        <f>$D:$D/$G:$G*100</f>
        <v>243.58230134158924</v>
      </c>
      <c r="I13" s="82">
        <f>D13-Март!D13</f>
        <v>380.42751999999996</v>
      </c>
    </row>
    <row r="14" spans="1:9" ht="63.75">
      <c r="A14" s="56" t="s">
        <v>78</v>
      </c>
      <c r="B14" s="85">
        <f>2580100/1000</f>
        <v>2580.1</v>
      </c>
      <c r="C14" s="85">
        <v>683.3</v>
      </c>
      <c r="D14" s="85">
        <v>1181.1</v>
      </c>
      <c r="E14" s="98">
        <f>$D:$D/$B:$B*100</f>
        <v>45.777295453664586</v>
      </c>
      <c r="F14" s="98">
        <v>187.82</v>
      </c>
      <c r="G14" s="85">
        <v>620.61</v>
      </c>
      <c r="H14" s="48">
        <f>$D:$D/$G:$G*100</f>
        <v>190.3127568037898</v>
      </c>
      <c r="I14" s="82">
        <f>D14-Март!D14</f>
        <v>375.0799499999998</v>
      </c>
    </row>
    <row r="15" spans="1:9" ht="37.5" customHeight="1">
      <c r="A15" s="56" t="s">
        <v>145</v>
      </c>
      <c r="B15" s="82">
        <v>46247</v>
      </c>
      <c r="C15" s="82">
        <v>46246.98</v>
      </c>
      <c r="D15" s="82">
        <v>46577.1</v>
      </c>
      <c r="E15" s="98">
        <f>$D:$D/$B:$B*100</f>
        <v>100.71377602871536</v>
      </c>
      <c r="F15" s="98"/>
      <c r="G15" s="85">
        <v>169.85000000000002</v>
      </c>
      <c r="H15" s="48">
        <f>$D:$D/$G:$G*100</f>
        <v>27422.490432734758</v>
      </c>
      <c r="I15" s="82">
        <f>D15-Март!D15</f>
        <v>15.206439999994473</v>
      </c>
    </row>
    <row r="16" spans="1:9" ht="39.75" customHeight="1">
      <c r="A16" s="58" t="s">
        <v>82</v>
      </c>
      <c r="B16" s="99">
        <f>SUM(B17:B20)</f>
        <v>55588</v>
      </c>
      <c r="C16" s="99">
        <v>16793.1</v>
      </c>
      <c r="D16" s="99">
        <v>17999.9</v>
      </c>
      <c r="E16" s="98">
        <f>$D:$D/$B:$B*100</f>
        <v>32.38090954882349</v>
      </c>
      <c r="F16" s="98">
        <v>1853.18</v>
      </c>
      <c r="G16" s="30">
        <f>G17+G18+G19+G20</f>
        <v>7432.4</v>
      </c>
      <c r="H16" s="98">
        <f>$D:$D/$G:$G*100</f>
        <v>242.18152951940155</v>
      </c>
      <c r="I16" s="30">
        <f>D16-Март!D16</f>
        <v>3663.6926999999996</v>
      </c>
    </row>
    <row r="17" spans="1:9" ht="37.5" customHeight="1">
      <c r="A17" s="39" t="s">
        <v>83</v>
      </c>
      <c r="B17" s="82">
        <v>25133.1</v>
      </c>
      <c r="C17" s="82">
        <v>7424.9</v>
      </c>
      <c r="D17" s="82">
        <v>8785.5</v>
      </c>
      <c r="E17" s="98">
        <f>$D:$D/$B:$B*100</f>
        <v>34.95589481599962</v>
      </c>
      <c r="F17" s="98">
        <v>844.23</v>
      </c>
      <c r="G17" s="85">
        <v>3358</v>
      </c>
      <c r="H17" s="48">
        <f>$D:$D/$G:$G*100</f>
        <v>261.62894580107206</v>
      </c>
      <c r="I17" s="82">
        <f>D17-Март!D17</f>
        <v>1900.4688499999993</v>
      </c>
    </row>
    <row r="18" spans="1:9" ht="56.25" customHeight="1">
      <c r="A18" s="39" t="s">
        <v>84</v>
      </c>
      <c r="B18" s="82">
        <v>139.1</v>
      </c>
      <c r="C18" s="82">
        <v>46.3</v>
      </c>
      <c r="D18" s="82">
        <v>60.3</v>
      </c>
      <c r="E18" s="98">
        <f>$D:$D/$B:$B*100</f>
        <v>43.350107836089144</v>
      </c>
      <c r="F18" s="98">
        <v>5.74</v>
      </c>
      <c r="G18" s="85">
        <v>24.8</v>
      </c>
      <c r="H18" s="48">
        <f>$D:$D/$G:$G*100</f>
        <v>243.14516129032256</v>
      </c>
      <c r="I18" s="82">
        <f>D18-Март!D18</f>
        <v>16.182419999999993</v>
      </c>
    </row>
    <row r="19" spans="1:9" ht="55.5" customHeight="1">
      <c r="A19" s="39" t="s">
        <v>85</v>
      </c>
      <c r="B19" s="82">
        <f>33467400/1000</f>
        <v>33467.4</v>
      </c>
      <c r="C19" s="82">
        <v>10501</v>
      </c>
      <c r="D19" s="82">
        <v>10425.9</v>
      </c>
      <c r="E19" s="98">
        <f>$D:$D/$B:$B*100</f>
        <v>31.152405026981477</v>
      </c>
      <c r="F19" s="98">
        <v>1158.41</v>
      </c>
      <c r="G19" s="85">
        <v>4659.33</v>
      </c>
      <c r="H19" s="48">
        <f>$D:$D/$G:$G*100</f>
        <v>223.76393172408905</v>
      </c>
      <c r="I19" s="82">
        <f>D19-Март!D19</f>
        <v>2095.1259599999994</v>
      </c>
    </row>
    <row r="20" spans="1:9" ht="15.75" customHeight="1">
      <c r="A20" s="39" t="s">
        <v>86</v>
      </c>
      <c r="B20" s="82">
        <v>-3151.6</v>
      </c>
      <c r="C20" s="82">
        <v>-1179</v>
      </c>
      <c r="D20" s="82">
        <v>-1271.9</v>
      </c>
      <c r="E20" s="98">
        <f>$D:$D/$B:$B*100</f>
        <v>40.357278842492704</v>
      </c>
      <c r="F20" s="98">
        <v>-155.2</v>
      </c>
      <c r="G20" s="85">
        <v>-609.73</v>
      </c>
      <c r="H20" s="48">
        <f>$D:$D/$G:$G*100</f>
        <v>208.6005281026028</v>
      </c>
      <c r="I20" s="82">
        <f>D20-Март!D20</f>
        <v>-348.1845300000001</v>
      </c>
    </row>
    <row r="21" spans="1:9" s="105" customFormat="1" ht="12.75">
      <c r="A21" s="59" t="s">
        <v>7</v>
      </c>
      <c r="B21" s="99">
        <f>SUM(B22:B25)</f>
        <v>134216.5</v>
      </c>
      <c r="C21" s="99">
        <f>SUM(C22:C25)</f>
        <v>48787.01875</v>
      </c>
      <c r="D21" s="99">
        <f>SUM(D22:D25)</f>
        <v>46749.100000000006</v>
      </c>
      <c r="E21" s="98">
        <f>$D:$D/$B:$B*100</f>
        <v>34.83111241911389</v>
      </c>
      <c r="F21" s="98">
        <v>7362.96</v>
      </c>
      <c r="G21" s="30">
        <f>G22+G24+G25+G23</f>
        <v>49915.03</v>
      </c>
      <c r="H21" s="98">
        <f>$D:$D/$G:$G*100</f>
        <v>93.65736131982693</v>
      </c>
      <c r="I21" s="30">
        <f>D21-Март!D21</f>
        <v>22061.254070000003</v>
      </c>
    </row>
    <row r="22" spans="1:9" ht="28.5" customHeight="1">
      <c r="A22" s="56" t="s">
        <v>146</v>
      </c>
      <c r="B22" s="85">
        <v>110640.7</v>
      </c>
      <c r="C22" s="85">
        <v>38600</v>
      </c>
      <c r="D22" s="85">
        <v>35948.5</v>
      </c>
      <c r="E22" s="98">
        <f>$D:$D/$B:$B*100</f>
        <v>32.491208027425714</v>
      </c>
      <c r="F22" s="98"/>
      <c r="G22" s="85">
        <v>34595.28</v>
      </c>
      <c r="H22" s="48">
        <f>$D:$D/$G:$G*100</f>
        <v>103.91157406443885</v>
      </c>
      <c r="I22" s="82">
        <f>D22-Март!D22</f>
        <v>19515.17638</v>
      </c>
    </row>
    <row r="23" spans="1:9" ht="19.5" customHeight="1">
      <c r="A23" s="56" t="s">
        <v>89</v>
      </c>
      <c r="B23" s="85">
        <v>0</v>
      </c>
      <c r="C23" s="85">
        <v>0</v>
      </c>
      <c r="D23" s="85">
        <v>57.4</v>
      </c>
      <c r="E23" s="98">
        <v>0</v>
      </c>
      <c r="F23" s="98">
        <v>7198.75</v>
      </c>
      <c r="G23" s="85">
        <v>6885.09</v>
      </c>
      <c r="H23" s="48">
        <f>$D:$D/$G:$G*100</f>
        <v>0.8336855436893345</v>
      </c>
      <c r="I23" s="82">
        <f>D23-Март!D23</f>
        <v>-10.089419999999997</v>
      </c>
    </row>
    <row r="24" spans="1:9" ht="15" customHeight="1">
      <c r="A24" s="56" t="s">
        <v>87</v>
      </c>
      <c r="B24" s="82">
        <f>1245000/1000</f>
        <v>1245</v>
      </c>
      <c r="C24" s="82">
        <f>270118.75/1000</f>
        <v>270.11875</v>
      </c>
      <c r="D24" s="82">
        <v>536.8</v>
      </c>
      <c r="E24" s="98">
        <f>$D:$D/$B:$B*100</f>
        <v>43.11646586345381</v>
      </c>
      <c r="F24" s="98">
        <v>113.58</v>
      </c>
      <c r="G24" s="85">
        <v>795.04</v>
      </c>
      <c r="H24" s="48">
        <f>$D:$D/$G:$G*100</f>
        <v>67.51861541557658</v>
      </c>
      <c r="I24" s="82">
        <f>D24-Март!D24</f>
        <v>266.68125</v>
      </c>
    </row>
    <row r="25" spans="1:9" ht="27" customHeight="1">
      <c r="A25" s="56" t="s">
        <v>88</v>
      </c>
      <c r="B25" s="85">
        <f>22330800/1000</f>
        <v>22330.8</v>
      </c>
      <c r="C25" s="85">
        <v>9916.9</v>
      </c>
      <c r="D25" s="85">
        <v>10206.4</v>
      </c>
      <c r="E25" s="98">
        <f>$D:$D/$B:$B*100</f>
        <v>45.705483010013076</v>
      </c>
      <c r="F25" s="98">
        <v>50.63</v>
      </c>
      <c r="G25" s="85">
        <v>7639.619999999999</v>
      </c>
      <c r="H25" s="48">
        <f>$D:$D/$G:$G*100</f>
        <v>133.5982679766795</v>
      </c>
      <c r="I25" s="82">
        <f>D25-Март!D25</f>
        <v>2289.48586</v>
      </c>
    </row>
    <row r="26" spans="1:9" ht="12.75">
      <c r="A26" s="59" t="s">
        <v>8</v>
      </c>
      <c r="B26" s="99">
        <f>SUM(B27:B28)</f>
        <v>42549</v>
      </c>
      <c r="C26" s="99">
        <f>SUM(C27:C28)</f>
        <v>7058.2</v>
      </c>
      <c r="D26" s="99">
        <f>SUM(D27:D28)</f>
        <v>6167.3</v>
      </c>
      <c r="E26" s="98">
        <f>$D:$D/$B:$B*100</f>
        <v>14.494582716397566</v>
      </c>
      <c r="F26" s="98">
        <v>2465.82</v>
      </c>
      <c r="G26" s="30">
        <f>SUM(G27:G28)</f>
        <v>5961.199999999999</v>
      </c>
      <c r="H26" s="98">
        <f>$D:$D/$G:$G*100</f>
        <v>103.45735757901096</v>
      </c>
      <c r="I26" s="30">
        <f>D26-Март!D26</f>
        <v>1295.70125</v>
      </c>
    </row>
    <row r="27" spans="1:9" ht="12.75">
      <c r="A27" s="56" t="s">
        <v>106</v>
      </c>
      <c r="B27" s="82">
        <v>25216.9</v>
      </c>
      <c r="C27" s="82">
        <v>2409</v>
      </c>
      <c r="D27" s="82">
        <v>2496.5</v>
      </c>
      <c r="E27" s="98">
        <f>$D:$D/$B:$B*100</f>
        <v>9.900106674492106</v>
      </c>
      <c r="F27" s="98">
        <v>536.1</v>
      </c>
      <c r="G27" s="85">
        <v>1769.7199999999998</v>
      </c>
      <c r="H27" s="48">
        <f>$D:$D/$G:$G*100</f>
        <v>141.06751350496125</v>
      </c>
      <c r="I27" s="82">
        <f>D27-Март!D27</f>
        <v>487.52686000000017</v>
      </c>
    </row>
    <row r="28" spans="1:9" ht="12.75">
      <c r="A28" s="56" t="s">
        <v>107</v>
      </c>
      <c r="B28" s="85">
        <f>17332100/1000</f>
        <v>17332.1</v>
      </c>
      <c r="C28" s="85">
        <v>4649.2</v>
      </c>
      <c r="D28" s="85">
        <v>3670.8</v>
      </c>
      <c r="E28" s="98">
        <f>$D:$D/$B:$B*100</f>
        <v>21.179199289180197</v>
      </c>
      <c r="F28" s="98">
        <v>1929.72</v>
      </c>
      <c r="G28" s="85">
        <v>4191.48</v>
      </c>
      <c r="H28" s="48">
        <f>$D:$D/$G:$G*100</f>
        <v>87.5776575338544</v>
      </c>
      <c r="I28" s="82">
        <f>D28-Март!D28</f>
        <v>808.1743900000001</v>
      </c>
    </row>
    <row r="29" spans="1:9" ht="12.75">
      <c r="A29" s="52" t="s">
        <v>9</v>
      </c>
      <c r="B29" s="99">
        <f>SUM(B30:B32)</f>
        <v>16105.5</v>
      </c>
      <c r="C29" s="99">
        <f>SUM(C30:C32)</f>
        <v>5232.4</v>
      </c>
      <c r="D29" s="99">
        <f>SUM(D30:D32)</f>
        <v>5111.099999999999</v>
      </c>
      <c r="E29" s="98">
        <f>$D:$D/$B:$B*100</f>
        <v>31.73512154233026</v>
      </c>
      <c r="F29" s="98">
        <v>793.07</v>
      </c>
      <c r="G29" s="30">
        <f>G30+G31+G32</f>
        <v>4918.91</v>
      </c>
      <c r="H29" s="98">
        <f>$D:$D/$G:$G*100</f>
        <v>103.90716642508198</v>
      </c>
      <c r="I29" s="30">
        <f>D29-Март!D29</f>
        <v>1422.2170299999993</v>
      </c>
    </row>
    <row r="30" spans="1:9" ht="25.5">
      <c r="A30" s="56" t="s">
        <v>10</v>
      </c>
      <c r="B30" s="85">
        <f>15988300/1000</f>
        <v>15988.3</v>
      </c>
      <c r="C30" s="85">
        <v>5200</v>
      </c>
      <c r="D30" s="85">
        <v>5061.9</v>
      </c>
      <c r="E30" s="98">
        <f>$D:$D/$B:$B*100</f>
        <v>31.660026394300832</v>
      </c>
      <c r="F30" s="98">
        <v>793.07</v>
      </c>
      <c r="G30" s="85">
        <v>4872.71</v>
      </c>
      <c r="H30" s="48">
        <f>$D:$D/$G:$G*100</f>
        <v>103.88264436011994</v>
      </c>
      <c r="I30" s="82">
        <f>D30-Март!D30</f>
        <v>1414.2170299999993</v>
      </c>
    </row>
    <row r="31" spans="1:9" ht="25.5">
      <c r="A31" s="56" t="s">
        <v>91</v>
      </c>
      <c r="B31" s="81">
        <f>67200/1000</f>
        <v>67.2</v>
      </c>
      <c r="C31" s="81">
        <v>22.4</v>
      </c>
      <c r="D31" s="81">
        <v>19.2</v>
      </c>
      <c r="E31" s="98">
        <f>$D:$D/$B:$B*100</f>
        <v>28.57142857142857</v>
      </c>
      <c r="F31" s="98">
        <v>0</v>
      </c>
      <c r="G31" s="85">
        <v>11.2</v>
      </c>
      <c r="H31" s="48">
        <f>$D:$D/$G:$G*100</f>
        <v>171.42857142857144</v>
      </c>
      <c r="I31" s="82">
        <f>D31-Март!D31</f>
        <v>-10.8</v>
      </c>
    </row>
    <row r="32" spans="1:9" ht="25.5">
      <c r="A32" s="56" t="s">
        <v>90</v>
      </c>
      <c r="B32" s="81">
        <f>50000/1000</f>
        <v>50</v>
      </c>
      <c r="C32" s="81">
        <v>10</v>
      </c>
      <c r="D32" s="81">
        <v>30</v>
      </c>
      <c r="E32" s="98">
        <f>$D:$D/$B:$B*100</f>
        <v>60</v>
      </c>
      <c r="F32" s="98">
        <v>0</v>
      </c>
      <c r="G32" s="85">
        <v>35</v>
      </c>
      <c r="H32" s="48">
        <f>$D:$D/$G:$G*100</f>
        <v>85.71428571428571</v>
      </c>
      <c r="I32" s="82">
        <f>D32-Март!D32</f>
        <v>18.8</v>
      </c>
    </row>
    <row r="33" spans="1:9" ht="25.5" hidden="1">
      <c r="A33" s="59" t="s">
        <v>11</v>
      </c>
      <c r="B33" s="85">
        <v>0</v>
      </c>
      <c r="C33" s="85">
        <v>0</v>
      </c>
      <c r="D33" s="85">
        <v>0.02</v>
      </c>
      <c r="E33" s="98" t="e">
        <f>$D:$D/$B:$B*100</f>
        <v>#DIV/0!</v>
      </c>
      <c r="F33" s="98">
        <v>0</v>
      </c>
      <c r="G33" s="30">
        <f>G34+G35</f>
        <v>0.04</v>
      </c>
      <c r="H33" s="48">
        <f>$D:$D/$G:$G*100</f>
        <v>50</v>
      </c>
      <c r="I33" s="30">
        <f>D33-Март!D33</f>
        <v>0</v>
      </c>
    </row>
    <row r="34" spans="1:9" ht="25.5" hidden="1">
      <c r="A34" s="56" t="s">
        <v>116</v>
      </c>
      <c r="B34" s="30">
        <v>0</v>
      </c>
      <c r="C34" s="30">
        <v>0</v>
      </c>
      <c r="D34" s="30">
        <v>0.02</v>
      </c>
      <c r="E34" s="98" t="e">
        <f>$D:$D/$B:$B*100</f>
        <v>#DIV/0!</v>
      </c>
      <c r="F34" s="98">
        <v>0</v>
      </c>
      <c r="G34" s="85">
        <v>0.04</v>
      </c>
      <c r="H34" s="48">
        <f>$D:$D/$G:$G*100</f>
        <v>50</v>
      </c>
      <c r="I34" s="30">
        <f>D34-Март!D34</f>
        <v>0</v>
      </c>
    </row>
    <row r="35" spans="1:9" ht="25.5" hidden="1">
      <c r="A35" s="56" t="s">
        <v>92</v>
      </c>
      <c r="B35" s="85">
        <v>0</v>
      </c>
      <c r="C35" s="85">
        <v>0</v>
      </c>
      <c r="D35" s="85">
        <v>0</v>
      </c>
      <c r="E35" s="98" t="e">
        <f>$D:$D/$B:$B*100</f>
        <v>#DIV/0!</v>
      </c>
      <c r="F35" s="98">
        <v>0</v>
      </c>
      <c r="G35" s="85">
        <v>0</v>
      </c>
      <c r="H35" s="48" t="e">
        <f>$D:$D/$G:$G*100</f>
        <v>#DIV/0!</v>
      </c>
      <c r="I35" s="30">
        <f>D35-Март!D35</f>
        <v>0</v>
      </c>
    </row>
    <row r="36" spans="1:9" ht="39.75" customHeight="1">
      <c r="A36" s="59" t="s">
        <v>12</v>
      </c>
      <c r="B36" s="99">
        <f>SUM(B38:B44)</f>
        <v>73550.39</v>
      </c>
      <c r="C36" s="99">
        <f>SUM(C38:C44)</f>
        <v>20055.600000000002</v>
      </c>
      <c r="D36" s="99">
        <f>SUM(D38:D44)</f>
        <v>16357.699999999997</v>
      </c>
      <c r="E36" s="98">
        <f>$D:$D/$B:$B*100</f>
        <v>22.240126802862633</v>
      </c>
      <c r="F36" s="98">
        <v>3247.05</v>
      </c>
      <c r="G36" s="30">
        <f>G37+G39+G40+G41+G43+G44+G38+G42</f>
        <v>18026.09</v>
      </c>
      <c r="H36" s="98">
        <f>$D:$D/$G:$G*100</f>
        <v>90.74458188104019</v>
      </c>
      <c r="I36" s="30">
        <f>D36-Март!D36</f>
        <v>5503.936059999996</v>
      </c>
    </row>
    <row r="37" spans="1:9" ht="81.75" customHeight="1" hidden="1">
      <c r="A37" s="56" t="s">
        <v>114</v>
      </c>
      <c r="B37" s="85"/>
      <c r="C37" s="85"/>
      <c r="D37" s="85"/>
      <c r="E37" s="98" t="e">
        <f>$D:$D/$B:$B*100</f>
        <v>#DIV/0!</v>
      </c>
      <c r="F37" s="98"/>
      <c r="G37" s="85"/>
      <c r="H37" s="48" t="e">
        <f>$D:$D/$G:$G*100</f>
        <v>#DIV/0!</v>
      </c>
      <c r="I37" s="30">
        <f>D37-Март!D37</f>
        <v>0</v>
      </c>
    </row>
    <row r="38" spans="1:9" ht="89.25">
      <c r="A38" s="56" t="s">
        <v>117</v>
      </c>
      <c r="B38" s="85">
        <v>37670.9</v>
      </c>
      <c r="C38" s="85">
        <v>10500</v>
      </c>
      <c r="D38" s="85">
        <v>9989.9</v>
      </c>
      <c r="E38" s="98">
        <f>$D:$D/$B:$B*100</f>
        <v>26.518877966812575</v>
      </c>
      <c r="F38" s="98">
        <v>2393.3</v>
      </c>
      <c r="G38" s="85">
        <v>10058.51</v>
      </c>
      <c r="H38" s="48">
        <f>$D:$D/$G:$G*100</f>
        <v>99.31789101964405</v>
      </c>
      <c r="I38" s="82">
        <f>D38-Март!D38</f>
        <v>3747.9958099999994</v>
      </c>
    </row>
    <row r="39" spans="1:9" ht="76.5">
      <c r="A39" s="56" t="s">
        <v>125</v>
      </c>
      <c r="B39" s="82">
        <v>7265</v>
      </c>
      <c r="C39" s="82">
        <v>1082.2</v>
      </c>
      <c r="D39" s="82">
        <v>926.9</v>
      </c>
      <c r="E39" s="98">
        <f>$D:$D/$B:$B*100</f>
        <v>12.758430832759807</v>
      </c>
      <c r="F39" s="98">
        <v>75.44</v>
      </c>
      <c r="G39" s="85">
        <v>250.31</v>
      </c>
      <c r="H39" s="48">
        <f>$D:$D/$G:$G*100</f>
        <v>370.3008269745515</v>
      </c>
      <c r="I39" s="82">
        <f>D39-Март!D39</f>
        <v>243.8414499999999</v>
      </c>
    </row>
    <row r="40" spans="1:9" ht="89.25">
      <c r="A40" s="56" t="s">
        <v>118</v>
      </c>
      <c r="B40" s="82">
        <v>428</v>
      </c>
      <c r="C40" s="82">
        <v>139.2</v>
      </c>
      <c r="D40" s="82">
        <v>70.9</v>
      </c>
      <c r="E40" s="98">
        <f>$D:$D/$B:$B*100</f>
        <v>16.565420560747665</v>
      </c>
      <c r="F40" s="98">
        <v>3.43</v>
      </c>
      <c r="G40" s="85">
        <v>147.79000000000002</v>
      </c>
      <c r="H40" s="48">
        <f>$D:$D/$G:$G*100</f>
        <v>47.97347587793491</v>
      </c>
      <c r="I40" s="82">
        <f>D40-Март!D40</f>
        <v>29.960960000000007</v>
      </c>
    </row>
    <row r="41" spans="1:9" ht="38.25">
      <c r="A41" s="56" t="s">
        <v>119</v>
      </c>
      <c r="B41" s="82">
        <v>21306.5</v>
      </c>
      <c r="C41" s="82">
        <v>4283.8</v>
      </c>
      <c r="D41" s="82">
        <v>4400.2</v>
      </c>
      <c r="E41" s="98">
        <f>$D:$D/$B:$B*100</f>
        <v>20.651913735245113</v>
      </c>
      <c r="F41" s="98">
        <v>538.73</v>
      </c>
      <c r="G41" s="85">
        <v>4374.6</v>
      </c>
      <c r="H41" s="48">
        <f>$D:$D/$G:$G*100</f>
        <v>100.58519636081012</v>
      </c>
      <c r="I41" s="82">
        <f>D41-Март!D41</f>
        <v>1144.1799999999998</v>
      </c>
    </row>
    <row r="42" spans="1:9" ht="51">
      <c r="A42" s="56" t="s">
        <v>147</v>
      </c>
      <c r="B42" s="82">
        <v>64.2</v>
      </c>
      <c r="C42" s="82">
        <v>21.4</v>
      </c>
      <c r="D42" s="82">
        <v>0</v>
      </c>
      <c r="E42" s="98">
        <f>$D:$D/$B:$B*100</f>
        <v>0</v>
      </c>
      <c r="F42" s="98"/>
      <c r="G42" s="85">
        <v>13.89</v>
      </c>
      <c r="H42" s="48">
        <f>$D:$D/$G:$G*100</f>
        <v>0</v>
      </c>
      <c r="I42" s="82">
        <f>D42-Март!D42</f>
        <v>0</v>
      </c>
    </row>
    <row r="43" spans="1:9" ht="51">
      <c r="A43" s="56" t="s">
        <v>120</v>
      </c>
      <c r="B43" s="82">
        <v>2735.6</v>
      </c>
      <c r="C43" s="82">
        <v>2735.6</v>
      </c>
      <c r="D43" s="82">
        <v>105.5</v>
      </c>
      <c r="E43" s="98">
        <f>$D:$D/$B:$B*100</f>
        <v>3.856557976312326</v>
      </c>
      <c r="F43" s="98">
        <v>0</v>
      </c>
      <c r="G43" s="85">
        <v>1641.63</v>
      </c>
      <c r="H43" s="48">
        <f>$D:$D/$G:$G*100</f>
        <v>6.426539476008601</v>
      </c>
      <c r="I43" s="82">
        <f>D43-Март!D43</f>
        <v>0.007999999999995566</v>
      </c>
    </row>
    <row r="44" spans="1:9" ht="76.5">
      <c r="A44" s="60" t="s">
        <v>121</v>
      </c>
      <c r="B44" s="82">
        <v>4080.19</v>
      </c>
      <c r="C44" s="82">
        <v>1293.4</v>
      </c>
      <c r="D44" s="82">
        <v>864.3</v>
      </c>
      <c r="E44" s="98">
        <f>$D:$D/$B:$B*100</f>
        <v>21.18283707376372</v>
      </c>
      <c r="F44" s="98">
        <v>236.15</v>
      </c>
      <c r="G44" s="85">
        <v>1539.3600000000001</v>
      </c>
      <c r="H44" s="48">
        <f>$D:$D/$G:$G*100</f>
        <v>56.146710321172435</v>
      </c>
      <c r="I44" s="82">
        <f>D44-Март!D44</f>
        <v>337.9498399999999</v>
      </c>
    </row>
    <row r="45" spans="1:9" ht="27" customHeight="1">
      <c r="A45" s="53" t="s">
        <v>13</v>
      </c>
      <c r="B45" s="85">
        <v>766.9</v>
      </c>
      <c r="C45" s="85">
        <v>405.6</v>
      </c>
      <c r="D45" s="85">
        <v>382.5</v>
      </c>
      <c r="E45" s="98">
        <f>$D:$D/$B:$B*100</f>
        <v>49.87612465771287</v>
      </c>
      <c r="F45" s="98">
        <v>43.6</v>
      </c>
      <c r="G45" s="99">
        <v>356.91</v>
      </c>
      <c r="H45" s="98">
        <f>$D:$D/$G:$G*100</f>
        <v>107.16987475834243</v>
      </c>
      <c r="I45" s="30">
        <f>D45-Март!D45</f>
        <v>90.46201000000002</v>
      </c>
    </row>
    <row r="46" spans="1:9" ht="25.5">
      <c r="A46" s="53" t="s">
        <v>96</v>
      </c>
      <c r="B46" s="85">
        <v>1297.6</v>
      </c>
      <c r="C46" s="85">
        <v>185.5</v>
      </c>
      <c r="D46" s="85">
        <v>432.6</v>
      </c>
      <c r="E46" s="98">
        <f>$D:$D/$B:$B*100</f>
        <v>33.33847102342787</v>
      </c>
      <c r="F46" s="98">
        <v>561.58</v>
      </c>
      <c r="G46" s="99">
        <v>512.06</v>
      </c>
      <c r="H46" s="98">
        <f>$D:$D/$G:$G*100</f>
        <v>84.48228723196502</v>
      </c>
      <c r="I46" s="30">
        <f>D46-Март!D46</f>
        <v>243.85736</v>
      </c>
    </row>
    <row r="47" spans="1:9" ht="25.5">
      <c r="A47" s="59" t="s">
        <v>14</v>
      </c>
      <c r="B47" s="99">
        <f>SUM(B48:B50)</f>
        <v>3900</v>
      </c>
      <c r="C47" s="99">
        <f>SUM(C48:C50)</f>
        <v>1063.6</v>
      </c>
      <c r="D47" s="99">
        <f>SUM(D48:D50)</f>
        <v>696.6</v>
      </c>
      <c r="E47" s="98">
        <f>$D:$D/$B:$B*100</f>
        <v>17.861538461538462</v>
      </c>
      <c r="F47" s="98">
        <v>585.5</v>
      </c>
      <c r="G47" s="30">
        <f>G48+G49+G50</f>
        <v>-58.370000000000005</v>
      </c>
      <c r="H47" s="98">
        <f>$D:$D/$G:$G*100</f>
        <v>-1193.4212780537948</v>
      </c>
      <c r="I47" s="30">
        <f>D47-Март!D47</f>
        <v>62.50976000000003</v>
      </c>
    </row>
    <row r="48" spans="1:9" ht="12.75">
      <c r="A48" s="56" t="s">
        <v>94</v>
      </c>
      <c r="B48" s="82">
        <v>0</v>
      </c>
      <c r="C48" s="82">
        <v>0</v>
      </c>
      <c r="D48" s="82">
        <v>0</v>
      </c>
      <c r="E48" s="48">
        <v>0</v>
      </c>
      <c r="F48" s="98">
        <v>0</v>
      </c>
      <c r="G48" s="85">
        <v>52.69</v>
      </c>
      <c r="H48" s="48">
        <f>$D:$D/$G:$G*100</f>
        <v>0</v>
      </c>
      <c r="I48" s="82">
        <f>D48-Март!D48</f>
        <v>0</v>
      </c>
    </row>
    <row r="49" spans="1:9" ht="76.5">
      <c r="A49" s="56" t="s">
        <v>95</v>
      </c>
      <c r="B49" s="85">
        <v>0</v>
      </c>
      <c r="C49" s="85">
        <v>0</v>
      </c>
      <c r="D49" s="85">
        <v>0</v>
      </c>
      <c r="E49" s="98">
        <v>0</v>
      </c>
      <c r="F49" s="98">
        <v>37.14</v>
      </c>
      <c r="G49" s="85">
        <v>0</v>
      </c>
      <c r="H49" s="48">
        <v>0</v>
      </c>
      <c r="I49" s="82">
        <f>D49-Март!D49</f>
        <v>0</v>
      </c>
    </row>
    <row r="50" spans="1:9" ht="14.25" customHeight="1">
      <c r="A50" s="60" t="s">
        <v>93</v>
      </c>
      <c r="B50" s="83">
        <f>3900000/1000</f>
        <v>3900</v>
      </c>
      <c r="C50" s="83">
        <v>1063.6</v>
      </c>
      <c r="D50" s="83">
        <v>696.6</v>
      </c>
      <c r="E50" s="98">
        <f>$D:$D/$B:$B*100</f>
        <v>17.861538461538462</v>
      </c>
      <c r="F50" s="98">
        <v>548.36</v>
      </c>
      <c r="G50" s="85">
        <v>-111.06</v>
      </c>
      <c r="H50" s="48">
        <f>$D:$D/$G:$G*100</f>
        <v>-627.228525121556</v>
      </c>
      <c r="I50" s="82">
        <f>D50-Март!D50</f>
        <v>62.50976000000003</v>
      </c>
    </row>
    <row r="51" spans="1:9" ht="12.75">
      <c r="A51" s="53" t="s">
        <v>15</v>
      </c>
      <c r="B51" s="85">
        <v>5212.7</v>
      </c>
      <c r="C51" s="85">
        <v>668.8</v>
      </c>
      <c r="D51" s="85">
        <v>1113.9</v>
      </c>
      <c r="E51" s="98">
        <f>$D:$D/$B:$B*100</f>
        <v>21.368964260364113</v>
      </c>
      <c r="F51" s="98">
        <v>179.73</v>
      </c>
      <c r="G51" s="30">
        <v>5259.83</v>
      </c>
      <c r="H51" s="98">
        <f>$D:$D/$G:$G*100</f>
        <v>21.17749052726039</v>
      </c>
      <c r="I51" s="30">
        <f>D51-Март!D51</f>
        <v>486.90646000000004</v>
      </c>
    </row>
    <row r="52" spans="1:9" ht="63.75" hidden="1">
      <c r="A52" s="56" t="s">
        <v>126</v>
      </c>
      <c r="B52" s="85">
        <v>223.07</v>
      </c>
      <c r="C52" s="85">
        <v>20</v>
      </c>
      <c r="D52" s="85"/>
      <c r="E52" s="98">
        <f>$D:$D/$B:$B*100</f>
        <v>0</v>
      </c>
      <c r="F52" s="98"/>
      <c r="G52" s="85"/>
      <c r="H52" s="48" t="e">
        <f>$D:$D/$G:$G*100</f>
        <v>#DIV/0!</v>
      </c>
      <c r="I52" s="30">
        <f>D52-Март!D52</f>
        <v>0</v>
      </c>
    </row>
    <row r="53" spans="1:9" ht="89.25" hidden="1">
      <c r="A53" s="56" t="s">
        <v>127</v>
      </c>
      <c r="B53" s="85">
        <v>223.07</v>
      </c>
      <c r="C53" s="85">
        <v>20</v>
      </c>
      <c r="D53" s="85"/>
      <c r="E53" s="98">
        <f>$D:$D/$B:$B*100</f>
        <v>0</v>
      </c>
      <c r="F53" s="98"/>
      <c r="G53" s="85"/>
      <c r="H53" s="48" t="e">
        <f>$D:$D/$G:$G*100</f>
        <v>#DIV/0!</v>
      </c>
      <c r="I53" s="30">
        <f>D53-Март!D53</f>
        <v>0</v>
      </c>
    </row>
    <row r="54" spans="1:9" ht="63.75" hidden="1">
      <c r="A54" s="56" t="s">
        <v>128</v>
      </c>
      <c r="B54" s="85">
        <v>223.07</v>
      </c>
      <c r="C54" s="85">
        <v>20</v>
      </c>
      <c r="D54" s="85"/>
      <c r="E54" s="98">
        <f>$D:$D/$B:$B*100</f>
        <v>0</v>
      </c>
      <c r="F54" s="98"/>
      <c r="G54" s="85"/>
      <c r="H54" s="48" t="e">
        <f>$D:$D/$G:$G*100</f>
        <v>#DIV/0!</v>
      </c>
      <c r="I54" s="30">
        <f>D54-Март!D54</f>
        <v>0</v>
      </c>
    </row>
    <row r="55" spans="1:9" ht="29.25" customHeight="1" hidden="1">
      <c r="A55" s="56" t="s">
        <v>129</v>
      </c>
      <c r="B55" s="85">
        <v>223.07</v>
      </c>
      <c r="C55" s="85">
        <v>20</v>
      </c>
      <c r="D55" s="85"/>
      <c r="E55" s="98">
        <f>$D:$D/$B:$B*100</f>
        <v>0</v>
      </c>
      <c r="F55" s="98"/>
      <c r="G55" s="85"/>
      <c r="H55" s="48" t="e">
        <f>$D:$D/$G:$G*100</f>
        <v>#DIV/0!</v>
      </c>
      <c r="I55" s="30">
        <f>D55-Март!D55</f>
        <v>0</v>
      </c>
    </row>
    <row r="56" spans="1:9" ht="38.25" customHeight="1" hidden="1">
      <c r="A56" s="56" t="s">
        <v>130</v>
      </c>
      <c r="B56" s="85">
        <v>223.07</v>
      </c>
      <c r="C56" s="85">
        <v>20</v>
      </c>
      <c r="D56" s="85"/>
      <c r="E56" s="98">
        <f>$D:$D/$B:$B*100</f>
        <v>0</v>
      </c>
      <c r="F56" s="98"/>
      <c r="G56" s="85"/>
      <c r="H56" s="48" t="e">
        <f>$D:$D/$G:$G*100</f>
        <v>#DIV/0!</v>
      </c>
      <c r="I56" s="30">
        <f>D56-Март!D56</f>
        <v>0</v>
      </c>
    </row>
    <row r="57" spans="1:9" ht="43.5" customHeight="1" hidden="1">
      <c r="A57" s="56" t="s">
        <v>131</v>
      </c>
      <c r="B57" s="85">
        <v>223.07</v>
      </c>
      <c r="C57" s="85">
        <v>20</v>
      </c>
      <c r="D57" s="85"/>
      <c r="E57" s="98">
        <f>$D:$D/$B:$B*100</f>
        <v>0</v>
      </c>
      <c r="F57" s="98"/>
      <c r="G57" s="85"/>
      <c r="H57" s="48" t="e">
        <f>$D:$D/$G:$G*100</f>
        <v>#DIV/0!</v>
      </c>
      <c r="I57" s="30">
        <f>D57-Март!D57</f>
        <v>0</v>
      </c>
    </row>
    <row r="58" spans="1:9" ht="40.5" customHeight="1" hidden="1">
      <c r="A58" s="56" t="s">
        <v>132</v>
      </c>
      <c r="B58" s="85">
        <v>223.07</v>
      </c>
      <c r="C58" s="85">
        <v>20</v>
      </c>
      <c r="D58" s="85"/>
      <c r="E58" s="98">
        <f>$D:$D/$B:$B*100</f>
        <v>0</v>
      </c>
      <c r="F58" s="98"/>
      <c r="G58" s="85"/>
      <c r="H58" s="48" t="e">
        <f>$D:$D/$G:$G*100</f>
        <v>#DIV/0!</v>
      </c>
      <c r="I58" s="30">
        <f>D58-Март!D58</f>
        <v>0</v>
      </c>
    </row>
    <row r="59" spans="1:9" ht="51" hidden="1">
      <c r="A59" s="56" t="s">
        <v>133</v>
      </c>
      <c r="B59" s="99">
        <v>223.07</v>
      </c>
      <c r="C59" s="99">
        <v>20</v>
      </c>
      <c r="D59" s="99"/>
      <c r="E59" s="98">
        <f>$D:$D/$B:$B*100</f>
        <v>0</v>
      </c>
      <c r="F59" s="98"/>
      <c r="G59" s="85"/>
      <c r="H59" s="48" t="e">
        <f>$D:$D/$G:$G*100</f>
        <v>#DIV/0!</v>
      </c>
      <c r="I59" s="30">
        <f>D59-Март!D59</f>
        <v>0</v>
      </c>
    </row>
    <row r="60" spans="1:9" ht="76.5" hidden="1">
      <c r="A60" s="56" t="s">
        <v>134</v>
      </c>
      <c r="B60" s="30">
        <v>223.07</v>
      </c>
      <c r="C60" s="30">
        <v>20</v>
      </c>
      <c r="D60" s="30"/>
      <c r="E60" s="98">
        <f>$D:$D/$B:$B*100</f>
        <v>0</v>
      </c>
      <c r="F60" s="98"/>
      <c r="G60" s="85"/>
      <c r="H60" s="48" t="e">
        <f>$D:$D/$G:$G*100</f>
        <v>#DIV/0!</v>
      </c>
      <c r="I60" s="30">
        <f>D60-Март!D60</f>
        <v>0</v>
      </c>
    </row>
    <row r="61" spans="1:9" ht="12.75" hidden="1">
      <c r="A61" s="56" t="s">
        <v>135</v>
      </c>
      <c r="B61" s="30">
        <v>223.07</v>
      </c>
      <c r="C61" s="30">
        <v>20</v>
      </c>
      <c r="D61" s="30"/>
      <c r="E61" s="98">
        <f>$D:$D/$B:$B*100</f>
        <v>0</v>
      </c>
      <c r="F61" s="98"/>
      <c r="G61" s="85"/>
      <c r="H61" s="48" t="e">
        <f>$D:$D/$G:$G*100</f>
        <v>#DIV/0!</v>
      </c>
      <c r="I61" s="30">
        <f>D61-Март!D61</f>
        <v>0</v>
      </c>
    </row>
    <row r="62" spans="1:9" ht="12.75">
      <c r="A62" s="52" t="s">
        <v>16</v>
      </c>
      <c r="B62" s="81">
        <f>50000/1000</f>
        <v>50</v>
      </c>
      <c r="C62" s="81">
        <v>16.7</v>
      </c>
      <c r="D62" s="81">
        <v>0</v>
      </c>
      <c r="E62" s="98">
        <f>$D:$D/$B:$B*100</f>
        <v>0</v>
      </c>
      <c r="F62" s="98">
        <v>-38.79</v>
      </c>
      <c r="G62" s="99">
        <v>24.43</v>
      </c>
      <c r="H62" s="98">
        <f>$D:$D/$G:$G*100</f>
        <v>0</v>
      </c>
      <c r="I62" s="30">
        <f>D62-Март!D62</f>
        <v>-0.2</v>
      </c>
    </row>
    <row r="63" spans="1:9" ht="12.75">
      <c r="A63" s="59" t="s">
        <v>17</v>
      </c>
      <c r="B63" s="99">
        <f>B62+B51+B47+B46+B45+B36+B29+B26+B21+B16+B8</f>
        <v>714424.49</v>
      </c>
      <c r="C63" s="99">
        <f>C62+C51+C47+C46+C45+C36+C29+C26+C21+C16+C8</f>
        <v>236748.49875000003</v>
      </c>
      <c r="D63" s="99">
        <f>D62+D51+D47+D46+D45+D36+D29+D26+D21+D16+D8</f>
        <v>221241.60000000003</v>
      </c>
      <c r="E63" s="98">
        <f>$D:$D/$B:$B*100</f>
        <v>30.96780738857371</v>
      </c>
      <c r="F63" s="98">
        <v>27699.089999999997</v>
      </c>
      <c r="G63" s="30">
        <f>G8+G16+G21+G26+G29+G33+G36+G45+G46+G47+G62+G51</f>
        <v>180839.30000000002</v>
      </c>
      <c r="H63" s="98">
        <f>$D:$D/$G:$G*100</f>
        <v>122.34154854614015</v>
      </c>
      <c r="I63" s="30">
        <f>D63-Март!D63</f>
        <v>51009.100200000015</v>
      </c>
    </row>
    <row r="64" spans="1:9" ht="12.75">
      <c r="A64" s="59" t="s">
        <v>18</v>
      </c>
      <c r="B64" s="85">
        <f>B65+B70+B71</f>
        <v>3246177.3300000005</v>
      </c>
      <c r="C64" s="85">
        <f>C65+C70+C71</f>
        <v>515959.3999999999</v>
      </c>
      <c r="D64" s="85">
        <f>D65+D70+D71</f>
        <v>528832.2999999999</v>
      </c>
      <c r="E64" s="98">
        <f>$D:$D/$B:$B*100</f>
        <v>16.290924562645497</v>
      </c>
      <c r="F64" s="98">
        <v>43822.57000000001</v>
      </c>
      <c r="G64" s="30">
        <f>G65+G71+G70</f>
        <v>500358.72000000003</v>
      </c>
      <c r="H64" s="98">
        <f>$D:$D/$G:$G*100</f>
        <v>105.69063331203658</v>
      </c>
      <c r="I64" s="30">
        <f>D64-Март!D64</f>
        <v>228655.51172999997</v>
      </c>
    </row>
    <row r="65" spans="1:9" ht="25.5">
      <c r="A65" s="59" t="s">
        <v>19</v>
      </c>
      <c r="B65" s="85">
        <f>SUM(B66:B69)</f>
        <v>3259727.9000000004</v>
      </c>
      <c r="C65" s="85">
        <f>SUM(C66:C69)</f>
        <v>534332.2999999999</v>
      </c>
      <c r="D65" s="85">
        <f>SUM(D66:D69)</f>
        <v>547205.2</v>
      </c>
      <c r="E65" s="98">
        <f>$D:$D/$B:$B*100</f>
        <v>16.786836717260968</v>
      </c>
      <c r="F65" s="98">
        <v>46091.770000000004</v>
      </c>
      <c r="G65" s="30">
        <f>G66+G67+G69+G68</f>
        <v>503204.02</v>
      </c>
      <c r="H65" s="98">
        <f>$D:$D/$G:$G*100</f>
        <v>108.74420279869781</v>
      </c>
      <c r="I65" s="30">
        <f>D65-Март!D65</f>
        <v>228655.47966999997</v>
      </c>
    </row>
    <row r="66" spans="1:9" ht="12.75">
      <c r="A66" s="56" t="s">
        <v>108</v>
      </c>
      <c r="B66" s="85">
        <v>480567.2</v>
      </c>
      <c r="C66" s="85">
        <v>159055.8</v>
      </c>
      <c r="D66" s="85">
        <v>136055.8</v>
      </c>
      <c r="E66" s="98">
        <f>$D:$D/$B:$B*100</f>
        <v>28.311503573277573</v>
      </c>
      <c r="F66" s="98">
        <v>15902.8</v>
      </c>
      <c r="G66" s="85">
        <v>165833</v>
      </c>
      <c r="H66" s="48">
        <f>$D:$D/$G:$G*100</f>
        <v>82.04386340475055</v>
      </c>
      <c r="I66" s="82">
        <f>D66-Март!D66</f>
        <v>29694.499999999985</v>
      </c>
    </row>
    <row r="67" spans="1:9" ht="12.75" customHeight="1">
      <c r="A67" s="56" t="s">
        <v>109</v>
      </c>
      <c r="B67" s="85">
        <v>1621321.8</v>
      </c>
      <c r="C67" s="85">
        <v>80871.1</v>
      </c>
      <c r="D67" s="85">
        <v>101936.4</v>
      </c>
      <c r="E67" s="98">
        <f>$D:$D/$B:$B*100</f>
        <v>6.2872404478864095</v>
      </c>
      <c r="F67" s="98">
        <v>0</v>
      </c>
      <c r="G67" s="85">
        <v>34043.270000000004</v>
      </c>
      <c r="H67" s="48">
        <f>$D:$D/$G:$G*100</f>
        <v>299.4318700876854</v>
      </c>
      <c r="I67" s="82">
        <f>D67-Март!D67</f>
        <v>85728.90203</v>
      </c>
    </row>
    <row r="68" spans="1:9" ht="18.75" customHeight="1">
      <c r="A68" s="56" t="s">
        <v>110</v>
      </c>
      <c r="B68" s="85">
        <v>1109054.2</v>
      </c>
      <c r="C68" s="85">
        <v>282344.8</v>
      </c>
      <c r="D68" s="85">
        <v>297190</v>
      </c>
      <c r="E68" s="98">
        <f>$D:$D/$B:$B*100</f>
        <v>26.796706599190557</v>
      </c>
      <c r="F68" s="98">
        <v>30188.97</v>
      </c>
      <c r="G68" s="85">
        <v>287480.77</v>
      </c>
      <c r="H68" s="48">
        <f>$D:$D/$G:$G*100</f>
        <v>103.37734937888192</v>
      </c>
      <c r="I68" s="82">
        <f>D68-Март!D68</f>
        <v>109299.67763999998</v>
      </c>
    </row>
    <row r="69" spans="1:9" ht="12.75" customHeight="1">
      <c r="A69" s="2" t="s">
        <v>122</v>
      </c>
      <c r="B69" s="82">
        <v>48784.7</v>
      </c>
      <c r="C69" s="82">
        <v>12060.6</v>
      </c>
      <c r="D69" s="82">
        <v>12023</v>
      </c>
      <c r="E69" s="98">
        <f>$D:$D/$B:$B*100</f>
        <v>24.64502190235873</v>
      </c>
      <c r="F69" s="98">
        <v>0</v>
      </c>
      <c r="G69" s="85">
        <v>15846.98</v>
      </c>
      <c r="H69" s="48">
        <f>$D:$D/$G:$G*100</f>
        <v>75.86934545257203</v>
      </c>
      <c r="I69" s="82">
        <f>D69-Март!D69</f>
        <v>3932.3999999999996</v>
      </c>
    </row>
    <row r="70" spans="1:9" ht="20.25" customHeight="1">
      <c r="A70" s="59" t="s">
        <v>113</v>
      </c>
      <c r="B70" s="83">
        <f>4822330/1000</f>
        <v>4822.33</v>
      </c>
      <c r="C70" s="83">
        <v>0</v>
      </c>
      <c r="D70" s="83">
        <v>0</v>
      </c>
      <c r="E70" s="98">
        <f>$D:$D/$B:$B*100</f>
        <v>0</v>
      </c>
      <c r="F70" s="98">
        <v>0</v>
      </c>
      <c r="G70" s="85">
        <v>0</v>
      </c>
      <c r="H70" s="48">
        <v>0</v>
      </c>
      <c r="I70" s="82">
        <f>D70-Март!D70</f>
        <v>0</v>
      </c>
    </row>
    <row r="71" spans="1:9" ht="25.5">
      <c r="A71" s="59" t="s">
        <v>21</v>
      </c>
      <c r="B71" s="82">
        <v>-18372.9</v>
      </c>
      <c r="C71" s="82">
        <v>-18372.9</v>
      </c>
      <c r="D71" s="82">
        <v>-18372.9</v>
      </c>
      <c r="E71" s="98">
        <f>$D:$D/$B:$B*100</f>
        <v>100</v>
      </c>
      <c r="F71" s="98">
        <v>-2269.2</v>
      </c>
      <c r="G71" s="99">
        <v>-2845.2999999999993</v>
      </c>
      <c r="H71" s="98">
        <f>$D:$D/$G:$G*100</f>
        <v>645.7280427371458</v>
      </c>
      <c r="I71" s="30">
        <f>D71-Март!D71</f>
        <v>0.03205999999772757</v>
      </c>
    </row>
    <row r="72" spans="1:9" ht="12.75">
      <c r="A72" s="52" t="s">
        <v>20</v>
      </c>
      <c r="B72" s="99">
        <f>B63+B64</f>
        <v>3960601.8200000003</v>
      </c>
      <c r="C72" s="99">
        <f>C63+C64</f>
        <v>752707.8987499999</v>
      </c>
      <c r="D72" s="99">
        <f>D63+D64</f>
        <v>750073.8999999999</v>
      </c>
      <c r="E72" s="98">
        <f>$D:$D/$B:$B*100</f>
        <v>18.938381945196394</v>
      </c>
      <c r="F72" s="98">
        <v>71521.66</v>
      </c>
      <c r="G72" s="30">
        <v>681198</v>
      </c>
      <c r="H72" s="98">
        <f>$D:$D/$G:$G*100</f>
        <v>110.11099562829014</v>
      </c>
      <c r="I72" s="30">
        <f>D72-Март!D72</f>
        <v>279664.6119299999</v>
      </c>
    </row>
    <row r="73" spans="1:9" ht="12.75" hidden="1">
      <c r="A73" s="59"/>
      <c r="B73" s="66"/>
      <c r="C73" s="66"/>
      <c r="D73" s="66"/>
      <c r="E73" s="50"/>
      <c r="F73" s="50"/>
      <c r="G73" s="66"/>
      <c r="H73" s="50"/>
      <c r="I73" s="66"/>
    </row>
    <row r="74" spans="1:9" ht="12.75" hidden="1">
      <c r="A74" s="59"/>
      <c r="B74" s="61"/>
      <c r="C74" s="61"/>
      <c r="D74" s="61"/>
      <c r="E74" s="50"/>
      <c r="F74" s="50"/>
      <c r="G74" s="61"/>
      <c r="H74" s="50"/>
      <c r="I74" s="61"/>
    </row>
    <row r="75" spans="1:9" ht="12.75" hidden="1">
      <c r="A75" s="52"/>
      <c r="B75" s="62"/>
      <c r="C75" s="62"/>
      <c r="D75" s="62"/>
      <c r="E75" s="50"/>
      <c r="F75" s="50"/>
      <c r="G75" s="62"/>
      <c r="H75" s="50"/>
      <c r="I75" s="62"/>
    </row>
    <row r="76" spans="1:9" ht="12.75" hidden="1">
      <c r="A76" s="67"/>
      <c r="B76" s="68"/>
      <c r="C76" s="68"/>
      <c r="D76" s="68"/>
      <c r="E76" s="69"/>
      <c r="F76" s="69"/>
      <c r="G76" s="68"/>
      <c r="H76" s="69"/>
      <c r="I76" s="70"/>
    </row>
    <row r="77" spans="1:9" ht="12.75">
      <c r="A77" s="86" t="s">
        <v>22</v>
      </c>
      <c r="B77" s="87"/>
      <c r="C77" s="87"/>
      <c r="D77" s="87"/>
      <c r="E77" s="87"/>
      <c r="F77" s="87"/>
      <c r="G77" s="87"/>
      <c r="H77" s="87"/>
      <c r="I77" s="88"/>
    </row>
    <row r="78" spans="1:9" ht="12.75">
      <c r="A78" s="7" t="s">
        <v>23</v>
      </c>
      <c r="B78" s="30">
        <f>B79+B80+B81+B82+B83+B84+B85+B86</f>
        <v>386261.9</v>
      </c>
      <c r="C78" s="30">
        <f>C79+C80+C81+C82+C83+C84+C85+C86</f>
        <v>42481.799999999996</v>
      </c>
      <c r="D78" s="30">
        <f>D79+D80+D81+D82+D83+D84+D85+D86</f>
        <v>41910.9</v>
      </c>
      <c r="E78" s="98">
        <f>$D:$D/$B:$B*100</f>
        <v>10.85038415644929</v>
      </c>
      <c r="F78" s="98">
        <f>$D:$D/$C:$C*100</f>
        <v>98.65613038995524</v>
      </c>
      <c r="G78" s="30">
        <f>G79+G80+G81+G82+G83+G84+G85+G86</f>
        <v>39807.1</v>
      </c>
      <c r="H78" s="98">
        <f>$D:$D/$G:$G*100</f>
        <v>105.2849868490797</v>
      </c>
      <c r="I78" s="30">
        <f>I79+I80+I81+I82+I83+I84+I85+I86</f>
        <v>41867.3</v>
      </c>
    </row>
    <row r="79" spans="1:9" ht="14.25" customHeight="1">
      <c r="A79" s="8" t="s">
        <v>24</v>
      </c>
      <c r="B79" s="82">
        <v>2984.6</v>
      </c>
      <c r="C79" s="71">
        <v>684</v>
      </c>
      <c r="D79" s="71">
        <v>684</v>
      </c>
      <c r="E79" s="48">
        <f>$D:$D/$B:$B*100</f>
        <v>22.917643905380956</v>
      </c>
      <c r="F79" s="48">
        <v>0</v>
      </c>
      <c r="G79" s="82">
        <v>818.1</v>
      </c>
      <c r="H79" s="48">
        <f>$D:$D/$G:$G*100</f>
        <v>83.6083608360836</v>
      </c>
      <c r="I79" s="82">
        <f>D79</f>
        <v>684</v>
      </c>
    </row>
    <row r="80" spans="1:9" ht="12.75">
      <c r="A80" s="8" t="s">
        <v>25</v>
      </c>
      <c r="B80" s="82">
        <v>6999</v>
      </c>
      <c r="C80" s="71">
        <v>2119.5</v>
      </c>
      <c r="D80" s="71">
        <v>2007.4</v>
      </c>
      <c r="E80" s="48">
        <f>$D:$D/$B:$B*100</f>
        <v>28.681240177168167</v>
      </c>
      <c r="F80" s="48">
        <f>$D:$D/$C:$C*100</f>
        <v>94.71101674923331</v>
      </c>
      <c r="G80" s="82">
        <v>1931.5</v>
      </c>
      <c r="H80" s="48">
        <f>$D:$D/$G:$G*100</f>
        <v>103.92958840279576</v>
      </c>
      <c r="I80" s="82">
        <f>D80</f>
        <v>2007.4</v>
      </c>
    </row>
    <row r="81" spans="1:9" ht="25.5">
      <c r="A81" s="8" t="s">
        <v>26</v>
      </c>
      <c r="B81" s="82">
        <v>65949</v>
      </c>
      <c r="C81" s="71">
        <v>18965.8</v>
      </c>
      <c r="D81" s="71">
        <v>18836.4</v>
      </c>
      <c r="E81" s="48">
        <f>$D:$D/$B:$B*100</f>
        <v>28.562070690988495</v>
      </c>
      <c r="F81" s="48">
        <f>$D:$D/$C:$C*100</f>
        <v>99.31771926309465</v>
      </c>
      <c r="G81" s="82">
        <v>18240.6</v>
      </c>
      <c r="H81" s="48">
        <f>$D:$D/$G:$G*100</f>
        <v>103.26633992302887</v>
      </c>
      <c r="I81" s="82">
        <f aca="true" t="shared" si="0" ref="I81:I125">D81</f>
        <v>18836.4</v>
      </c>
    </row>
    <row r="82" spans="1:9" ht="12.75">
      <c r="A82" s="8" t="s">
        <v>72</v>
      </c>
      <c r="B82" s="49">
        <f>327700/1000</f>
        <v>327.7</v>
      </c>
      <c r="C82" s="71">
        <v>170</v>
      </c>
      <c r="D82" s="71">
        <v>170</v>
      </c>
      <c r="E82" s="48">
        <v>0</v>
      </c>
      <c r="F82" s="48">
        <v>0</v>
      </c>
      <c r="G82" s="49">
        <v>28.4</v>
      </c>
      <c r="H82" s="48">
        <f>$D:$D/$G:$G*100</f>
        <v>598.5915492957747</v>
      </c>
      <c r="I82" s="82">
        <f>D83</f>
        <v>4585.8</v>
      </c>
    </row>
    <row r="83" spans="1:9" ht="25.5">
      <c r="A83" s="1" t="s">
        <v>27</v>
      </c>
      <c r="B83" s="85">
        <v>16457.8</v>
      </c>
      <c r="C83" s="71">
        <v>4688.4</v>
      </c>
      <c r="D83" s="71">
        <v>4585.8</v>
      </c>
      <c r="E83" s="48">
        <f>$D:$D/$B:$B*100</f>
        <v>27.863991542004403</v>
      </c>
      <c r="F83" s="48">
        <v>0</v>
      </c>
      <c r="G83" s="85">
        <v>4582.6</v>
      </c>
      <c r="H83" s="48">
        <f>$D:$D/$G:$G*100</f>
        <v>100.0698293545149</v>
      </c>
      <c r="I83" s="82">
        <f>D84</f>
        <v>0</v>
      </c>
    </row>
    <row r="84" spans="1:9" ht="12.75" hidden="1">
      <c r="A84" s="8" t="s">
        <v>28</v>
      </c>
      <c r="B84" s="82">
        <v>0</v>
      </c>
      <c r="C84" s="71">
        <v>0</v>
      </c>
      <c r="D84" s="71">
        <v>0</v>
      </c>
      <c r="E84" s="48">
        <v>0</v>
      </c>
      <c r="F84" s="48">
        <v>0</v>
      </c>
      <c r="G84" s="82">
        <v>0</v>
      </c>
      <c r="H84" s="48" t="e">
        <f>$D:$D/$G:$G*100</f>
        <v>#DIV/0!</v>
      </c>
      <c r="I84" s="82">
        <f>D85</f>
        <v>0</v>
      </c>
    </row>
    <row r="85" spans="1:9" ht="12.75">
      <c r="A85" s="8" t="s">
        <v>29</v>
      </c>
      <c r="B85" s="82">
        <v>1679.8</v>
      </c>
      <c r="C85" s="71">
        <v>0</v>
      </c>
      <c r="D85" s="71">
        <v>0</v>
      </c>
      <c r="E85" s="48">
        <f>$D:$D/$B:$B*100</f>
        <v>0</v>
      </c>
      <c r="F85" s="48">
        <v>0</v>
      </c>
      <c r="G85" s="82">
        <v>0</v>
      </c>
      <c r="H85" s="48">
        <v>0</v>
      </c>
      <c r="I85" s="82">
        <f>D86</f>
        <v>15627.3</v>
      </c>
    </row>
    <row r="86" spans="1:9" ht="12.75">
      <c r="A86" s="1" t="s">
        <v>30</v>
      </c>
      <c r="B86" s="82">
        <v>291864</v>
      </c>
      <c r="C86" s="71">
        <v>15854.1</v>
      </c>
      <c r="D86" s="71">
        <v>15627.3</v>
      </c>
      <c r="E86" s="48">
        <f>$D:$D/$B:$B*100</f>
        <v>5.354308856179591</v>
      </c>
      <c r="F86" s="48">
        <f>$D:$D/$C:$C*100</f>
        <v>98.56945521978541</v>
      </c>
      <c r="G86" s="82">
        <v>14205.9</v>
      </c>
      <c r="H86" s="48">
        <f>$D:$D/$G:$G*100</f>
        <v>110.00570185627099</v>
      </c>
      <c r="I86" s="82">
        <f>D87</f>
        <v>126.4</v>
      </c>
    </row>
    <row r="87" spans="1:9" ht="12.75">
      <c r="A87" s="7" t="s">
        <v>31</v>
      </c>
      <c r="B87" s="99">
        <f>428600/1000</f>
        <v>428.6</v>
      </c>
      <c r="C87" s="71">
        <v>126.4</v>
      </c>
      <c r="D87" s="71">
        <v>126.4</v>
      </c>
      <c r="E87" s="98">
        <f>$D:$D/$B:$B*100</f>
        <v>29.491367242183852</v>
      </c>
      <c r="F87" s="98">
        <f>$D:$D/$C:$C*100</f>
        <v>100</v>
      </c>
      <c r="G87" s="30">
        <v>107</v>
      </c>
      <c r="H87" s="98">
        <f>$D:$D/$G:$G*100</f>
        <v>118.13084112149532</v>
      </c>
      <c r="I87" s="30">
        <f>D87</f>
        <v>126.4</v>
      </c>
    </row>
    <row r="88" spans="1:9" ht="25.5">
      <c r="A88" s="9" t="s">
        <v>32</v>
      </c>
      <c r="B88" s="99">
        <v>13498.9</v>
      </c>
      <c r="C88" s="71">
        <v>2134.5</v>
      </c>
      <c r="D88" s="71">
        <v>1569.3</v>
      </c>
      <c r="E88" s="98">
        <f>$D:$D/$B:$B*100</f>
        <v>11.625391698582847</v>
      </c>
      <c r="F88" s="98">
        <f>$D:$D/$C:$C*100</f>
        <v>73.52073085031623</v>
      </c>
      <c r="G88" s="99">
        <v>1626.6</v>
      </c>
      <c r="H88" s="98">
        <f>$D:$D/$G:$G*100</f>
        <v>96.47731464404279</v>
      </c>
      <c r="I88" s="30">
        <f t="shared" si="0"/>
        <v>1569.3</v>
      </c>
    </row>
    <row r="89" spans="1:9" ht="12.75">
      <c r="A89" s="7" t="s">
        <v>33</v>
      </c>
      <c r="B89" s="30">
        <f>B90+B91+B92+B93+B94</f>
        <v>591387</v>
      </c>
      <c r="C89" s="30">
        <f>C90+C91+C92+C93+C94</f>
        <v>20773.2</v>
      </c>
      <c r="D89" s="30">
        <f>D90+D91+D92+D93+D94</f>
        <v>20692.800000000003</v>
      </c>
      <c r="E89" s="98">
        <f>$D:$D/$B:$B*100</f>
        <v>3.499028554905671</v>
      </c>
      <c r="F89" s="98">
        <f>$D:$D/$C:$C*100</f>
        <v>99.61296285598753</v>
      </c>
      <c r="G89" s="30">
        <f>G90+G91+G92+G93+G94</f>
        <v>19568.9</v>
      </c>
      <c r="H89" s="98">
        <f>$D:$D/$G:$G*100</f>
        <v>105.74329676169842</v>
      </c>
      <c r="I89" s="30">
        <f t="shared" si="0"/>
        <v>20692.800000000003</v>
      </c>
    </row>
    <row r="90" spans="1:9" ht="12.75" customHeight="1" hidden="1">
      <c r="A90" s="10" t="s">
        <v>64</v>
      </c>
      <c r="B90" s="82"/>
      <c r="C90" s="82"/>
      <c r="D90" s="82"/>
      <c r="E90" s="48">
        <v>0</v>
      </c>
      <c r="F90" s="48">
        <v>0</v>
      </c>
      <c r="G90" s="82"/>
      <c r="H90" s="48">
        <v>0</v>
      </c>
      <c r="I90" s="82">
        <f t="shared" si="0"/>
        <v>0</v>
      </c>
    </row>
    <row r="91" spans="1:9" ht="12.75" customHeight="1">
      <c r="A91" s="10" t="s">
        <v>67</v>
      </c>
      <c r="B91" s="82">
        <v>69.7</v>
      </c>
      <c r="C91" s="71">
        <v>0</v>
      </c>
      <c r="D91" s="71">
        <v>0</v>
      </c>
      <c r="E91" s="48">
        <v>0</v>
      </c>
      <c r="F91" s="48">
        <v>0</v>
      </c>
      <c r="G91" s="82">
        <v>0</v>
      </c>
      <c r="H91" s="48">
        <v>0</v>
      </c>
      <c r="I91" s="82">
        <f t="shared" si="0"/>
        <v>0</v>
      </c>
    </row>
    <row r="92" spans="1:9" ht="12.75">
      <c r="A92" s="8" t="s">
        <v>34</v>
      </c>
      <c r="B92" s="82">
        <v>27875.6</v>
      </c>
      <c r="C92" s="71">
        <v>6872.5</v>
      </c>
      <c r="D92" s="71">
        <v>6872.5</v>
      </c>
      <c r="E92" s="48">
        <f>$D:$D/$B:$B*100</f>
        <v>24.654177847292974</v>
      </c>
      <c r="F92" s="48">
        <v>0</v>
      </c>
      <c r="G92" s="82">
        <v>6436.7</v>
      </c>
      <c r="H92" s="48">
        <f>$D:$D/$G:$G*100</f>
        <v>106.77055012661766</v>
      </c>
      <c r="I92" s="82">
        <f t="shared" si="0"/>
        <v>6872.5</v>
      </c>
    </row>
    <row r="93" spans="1:9" ht="12.75">
      <c r="A93" s="10" t="s">
        <v>77</v>
      </c>
      <c r="B93" s="85">
        <v>524817</v>
      </c>
      <c r="C93" s="71">
        <v>10074.4</v>
      </c>
      <c r="D93" s="71">
        <v>9994.4</v>
      </c>
      <c r="E93" s="48">
        <f>$D:$D/$B:$B*100</f>
        <v>1.904359043247456</v>
      </c>
      <c r="F93" s="48">
        <f>$D:$D/$C:$C*100</f>
        <v>99.20590804415151</v>
      </c>
      <c r="G93" s="85">
        <v>9886.5</v>
      </c>
      <c r="H93" s="48">
        <f>$D:$D/$G:$G*100</f>
        <v>101.09138724523339</v>
      </c>
      <c r="I93" s="82">
        <f t="shared" si="0"/>
        <v>9994.4</v>
      </c>
    </row>
    <row r="94" spans="1:9" ht="12.75">
      <c r="A94" s="8" t="s">
        <v>35</v>
      </c>
      <c r="B94" s="82">
        <v>38624.7</v>
      </c>
      <c r="C94" s="71">
        <v>3826.3</v>
      </c>
      <c r="D94" s="71">
        <v>3825.9</v>
      </c>
      <c r="E94" s="48">
        <f>$D:$D/$B:$B*100</f>
        <v>9.90531965296818</v>
      </c>
      <c r="F94" s="48">
        <f>$D:$D/$C:$C*100</f>
        <v>99.98954603664114</v>
      </c>
      <c r="G94" s="82">
        <v>3245.7</v>
      </c>
      <c r="H94" s="48">
        <f>$D:$D/$G:$G*100</f>
        <v>117.87595896108698</v>
      </c>
      <c r="I94" s="82">
        <f t="shared" si="0"/>
        <v>3825.9</v>
      </c>
    </row>
    <row r="95" spans="1:9" ht="12.75">
      <c r="A95" s="7" t="s">
        <v>36</v>
      </c>
      <c r="B95" s="30">
        <f>B97+B98+B99+B96</f>
        <v>682499.6000000001</v>
      </c>
      <c r="C95" s="85">
        <f>C97+C98+C99+C96</f>
        <v>35492.7</v>
      </c>
      <c r="D95" s="30">
        <f>D97+D98+D99+D96</f>
        <v>18527.8</v>
      </c>
      <c r="E95" s="30">
        <f>E98+E99+E96</f>
        <v>9.077425115910888</v>
      </c>
      <c r="F95" s="98">
        <f>$D:$D/$C:$C*100</f>
        <v>52.201720353762894</v>
      </c>
      <c r="G95" s="30">
        <f>G97+G98+G99+G96</f>
        <v>26030.5</v>
      </c>
      <c r="H95" s="30">
        <f>H97+H98+H99</f>
        <v>423.40565287127976</v>
      </c>
      <c r="I95" s="30">
        <f t="shared" si="0"/>
        <v>18527.8</v>
      </c>
    </row>
    <row r="96" spans="1:9" ht="12.75">
      <c r="A96" s="8" t="s">
        <v>37</v>
      </c>
      <c r="B96" s="71">
        <v>39736.3</v>
      </c>
      <c r="C96" s="71">
        <v>0</v>
      </c>
      <c r="D96" s="71">
        <v>0</v>
      </c>
      <c r="E96" s="48">
        <v>0</v>
      </c>
      <c r="F96" s="48">
        <v>0</v>
      </c>
      <c r="G96" s="71">
        <v>7815.7</v>
      </c>
      <c r="H96" s="48">
        <f>$D:$D/$G:$G*100</f>
        <v>0</v>
      </c>
      <c r="I96" s="82">
        <f t="shared" si="0"/>
        <v>0</v>
      </c>
    </row>
    <row r="97" spans="1:9" ht="12.75">
      <c r="A97" s="8" t="s">
        <v>38</v>
      </c>
      <c r="B97" s="82">
        <v>49883.8</v>
      </c>
      <c r="C97" s="71">
        <v>457.5</v>
      </c>
      <c r="D97" s="71">
        <v>63.2</v>
      </c>
      <c r="E97" s="48">
        <f>$D:$D/$B:$B*100</f>
        <v>0.12669443787361828</v>
      </c>
      <c r="F97" s="48">
        <v>0</v>
      </c>
      <c r="G97" s="82">
        <v>29.1</v>
      </c>
      <c r="H97" s="48">
        <f>$D:$D/$G:$G*100</f>
        <v>217.18213058419244</v>
      </c>
      <c r="I97" s="82">
        <f t="shared" si="0"/>
        <v>63.2</v>
      </c>
    </row>
    <row r="98" spans="1:9" ht="12.75">
      <c r="A98" s="8" t="s">
        <v>39</v>
      </c>
      <c r="B98" s="82">
        <v>472521</v>
      </c>
      <c r="C98" s="71">
        <v>10625.2</v>
      </c>
      <c r="D98" s="71">
        <v>10115.8</v>
      </c>
      <c r="E98" s="48">
        <f>$D:$D/$B:$B*100</f>
        <v>2.140814905580916</v>
      </c>
      <c r="F98" s="48">
        <f>$D:$D/$C:$C*100</f>
        <v>95.20573730376839</v>
      </c>
      <c r="G98" s="82">
        <v>10725</v>
      </c>
      <c r="H98" s="48">
        <f>$D:$D/$G:$G*100</f>
        <v>94.31981351981351</v>
      </c>
      <c r="I98" s="82">
        <f t="shared" si="0"/>
        <v>10115.8</v>
      </c>
    </row>
    <row r="99" spans="1:9" ht="12.75">
      <c r="A99" s="8" t="s">
        <v>40</v>
      </c>
      <c r="B99" s="82">
        <v>120358.5</v>
      </c>
      <c r="C99" s="71">
        <v>24410</v>
      </c>
      <c r="D99" s="71">
        <v>8348.8</v>
      </c>
      <c r="E99" s="48">
        <f>$D:$D/$B:$B*100</f>
        <v>6.936610210329971</v>
      </c>
      <c r="F99" s="48">
        <f>$D:$D/$C:$C*100</f>
        <v>34.202376075378936</v>
      </c>
      <c r="G99" s="82">
        <v>7460.7</v>
      </c>
      <c r="H99" s="48">
        <f>$D:$D/$G:$G*100</f>
        <v>111.90370876727384</v>
      </c>
      <c r="I99" s="82">
        <f t="shared" si="0"/>
        <v>8348.8</v>
      </c>
    </row>
    <row r="100" spans="1:9" ht="12.75">
      <c r="A100" s="11" t="s">
        <v>115</v>
      </c>
      <c r="B100" s="30">
        <f>B101</f>
        <v>1950.5</v>
      </c>
      <c r="C100" s="30">
        <f>C101</f>
        <v>308.1</v>
      </c>
      <c r="D100" s="30">
        <f>D101</f>
        <v>308.1</v>
      </c>
      <c r="E100" s="98">
        <f>$D:$D/$B:$B*100</f>
        <v>15.7959497564727</v>
      </c>
      <c r="F100" s="98"/>
      <c r="G100" s="30">
        <f>G101</f>
        <v>136.6</v>
      </c>
      <c r="H100" s="30">
        <f>H101</f>
        <v>225.54904831625186</v>
      </c>
      <c r="I100" s="30">
        <f t="shared" si="0"/>
        <v>308.1</v>
      </c>
    </row>
    <row r="101" spans="1:9" ht="25.5">
      <c r="A101" s="41" t="s">
        <v>143</v>
      </c>
      <c r="B101" s="82">
        <f>1950500/1000</f>
        <v>1950.5</v>
      </c>
      <c r="C101" s="71">
        <v>308.1</v>
      </c>
      <c r="D101" s="71">
        <v>308.1</v>
      </c>
      <c r="E101" s="48">
        <f>$D:$D/$B:$B*100</f>
        <v>15.7959497564727</v>
      </c>
      <c r="F101" s="48"/>
      <c r="G101" s="82">
        <v>136.6</v>
      </c>
      <c r="H101" s="48">
        <f>$D:$D/$G:$G*100</f>
        <v>225.54904831625186</v>
      </c>
      <c r="I101" s="82">
        <f t="shared" si="0"/>
        <v>308.1</v>
      </c>
    </row>
    <row r="102" spans="1:9" ht="12.75">
      <c r="A102" s="11" t="s">
        <v>41</v>
      </c>
      <c r="B102" s="30">
        <f>B103+B104+B106+B107+B108+B105</f>
        <v>1650139.5</v>
      </c>
      <c r="C102" s="30">
        <f>C103+C104+C106+C107+C108+C105</f>
        <v>446920.60000000003</v>
      </c>
      <c r="D102" s="30">
        <f>D103+D104+D106+D107+D108+D105</f>
        <v>446811.4</v>
      </c>
      <c r="E102" s="30">
        <f>E103+E104+E107+E108+E106</f>
        <v>105.07424619573335</v>
      </c>
      <c r="F102" s="30">
        <f>F103+F104+F107+F108+F106</f>
        <v>499.7788507431347</v>
      </c>
      <c r="G102" s="30">
        <f>G103+G104+G105+G107+G108+G106</f>
        <v>429443.8</v>
      </c>
      <c r="H102" s="30">
        <f>H103+H104+H107+H108+H106</f>
        <v>475.09725874199285</v>
      </c>
      <c r="I102" s="30">
        <f t="shared" si="0"/>
        <v>446811.4</v>
      </c>
    </row>
    <row r="103" spans="1:9" ht="12.75">
      <c r="A103" s="8" t="s">
        <v>42</v>
      </c>
      <c r="B103" s="82">
        <v>612467.7</v>
      </c>
      <c r="C103" s="71">
        <v>176107.5</v>
      </c>
      <c r="D103" s="71">
        <v>176107.5</v>
      </c>
      <c r="E103" s="48">
        <f>$D:$D/$B:$B*100</f>
        <v>28.753761218754885</v>
      </c>
      <c r="F103" s="48">
        <f>$D:$D/$C:$C*100</f>
        <v>100</v>
      </c>
      <c r="G103" s="82">
        <v>167622.8</v>
      </c>
      <c r="H103" s="48">
        <f>$D:$D/$G:$G*100</f>
        <v>105.06178157148074</v>
      </c>
      <c r="I103" s="82">
        <f t="shared" si="0"/>
        <v>176107.5</v>
      </c>
    </row>
    <row r="104" spans="1:9" ht="12.75">
      <c r="A104" s="8" t="s">
        <v>43</v>
      </c>
      <c r="B104" s="82">
        <v>658617.2</v>
      </c>
      <c r="C104" s="71">
        <v>173334</v>
      </c>
      <c r="D104" s="71">
        <v>173333.1</v>
      </c>
      <c r="E104" s="48">
        <f>$D:$D/$B:$B*100</f>
        <v>26.317730542111565</v>
      </c>
      <c r="F104" s="48">
        <f>$D:$D/$C:$C*100</f>
        <v>99.99948077122781</v>
      </c>
      <c r="G104" s="82">
        <v>169610.7</v>
      </c>
      <c r="H104" s="48">
        <f>$D:$D/$G:$G*100</f>
        <v>102.19467285967217</v>
      </c>
      <c r="I104" s="82">
        <f t="shared" si="0"/>
        <v>173333.1</v>
      </c>
    </row>
    <row r="105" spans="1:9" ht="12.75">
      <c r="A105" s="22" t="s">
        <v>105</v>
      </c>
      <c r="B105" s="82">
        <v>145070.3</v>
      </c>
      <c r="C105" s="71">
        <v>40195.7</v>
      </c>
      <c r="D105" s="71">
        <v>40195.7</v>
      </c>
      <c r="E105" s="48">
        <f>$D:$D/$B:$B*100</f>
        <v>27.70773893760473</v>
      </c>
      <c r="F105" s="48">
        <f>$D:$D/$C:$C*100</f>
        <v>100</v>
      </c>
      <c r="G105" s="82">
        <v>39442.8</v>
      </c>
      <c r="H105" s="48">
        <f>$D:$D/$G:$G*100</f>
        <v>101.90884014319468</v>
      </c>
      <c r="I105" s="82">
        <f t="shared" si="0"/>
        <v>40195.7</v>
      </c>
    </row>
    <row r="106" spans="1:9" ht="25.5">
      <c r="A106" s="8" t="s">
        <v>123</v>
      </c>
      <c r="B106" s="82">
        <v>1674.8</v>
      </c>
      <c r="C106" s="71">
        <v>131.7</v>
      </c>
      <c r="D106" s="71">
        <v>131.7</v>
      </c>
      <c r="E106" s="48">
        <f>$D:$D/$B:$B*100</f>
        <v>7.863625507523286</v>
      </c>
      <c r="F106" s="48">
        <f>$D:$D/$C:$C*100</f>
        <v>100</v>
      </c>
      <c r="G106" s="82">
        <v>244.6</v>
      </c>
      <c r="H106" s="48">
        <f>$D:$D/$G:$G*100</f>
        <v>53.84300899427637</v>
      </c>
      <c r="I106" s="82">
        <f t="shared" si="0"/>
        <v>131.7</v>
      </c>
    </row>
    <row r="107" spans="1:9" ht="12.75">
      <c r="A107" s="8" t="s">
        <v>44</v>
      </c>
      <c r="B107" s="82">
        <v>56436.5</v>
      </c>
      <c r="C107" s="71">
        <v>8065</v>
      </c>
      <c r="D107" s="71">
        <v>8065</v>
      </c>
      <c r="E107" s="48">
        <f>$D:$D/$B:$B*100</f>
        <v>14.290397172042915</v>
      </c>
      <c r="F107" s="48">
        <f>$D:$D/$C:$C*100</f>
        <v>100</v>
      </c>
      <c r="G107" s="82">
        <v>7701.2</v>
      </c>
      <c r="H107" s="48">
        <f>$D:$D/$G:$G*100</f>
        <v>104.72393912636993</v>
      </c>
      <c r="I107" s="82">
        <f t="shared" si="0"/>
        <v>8065</v>
      </c>
    </row>
    <row r="108" spans="1:9" ht="12.75">
      <c r="A108" s="8" t="s">
        <v>45</v>
      </c>
      <c r="B108" s="82">
        <v>175873</v>
      </c>
      <c r="C108" s="71">
        <v>49086.7</v>
      </c>
      <c r="D108" s="71">
        <v>48978.4</v>
      </c>
      <c r="E108" s="48">
        <f>$D:$D/$B:$B*100</f>
        <v>27.848731755300697</v>
      </c>
      <c r="F108" s="48">
        <f>$D:$D/$C:$C*100</f>
        <v>99.77936997190686</v>
      </c>
      <c r="G108" s="85">
        <v>44821.7</v>
      </c>
      <c r="H108" s="48">
        <f>$D:$D/$G:$G*100</f>
        <v>109.27385619019361</v>
      </c>
      <c r="I108" s="82">
        <f t="shared" si="0"/>
        <v>48978.4</v>
      </c>
    </row>
    <row r="109" spans="1:9" ht="25.5">
      <c r="A109" s="11" t="s">
        <v>46</v>
      </c>
      <c r="B109" s="30">
        <f>B110+B111</f>
        <v>326713.3</v>
      </c>
      <c r="C109" s="30">
        <f>C110+C111</f>
        <v>42942.6</v>
      </c>
      <c r="D109" s="30">
        <f>D110+D111</f>
        <v>42754.899999999994</v>
      </c>
      <c r="E109" s="98">
        <f>$D:$D/$B:$B*100</f>
        <v>13.086366548285605</v>
      </c>
      <c r="F109" s="98">
        <f>$D:$D/$C:$C*100</f>
        <v>99.5629049009608</v>
      </c>
      <c r="G109" s="30">
        <f>G110+G111</f>
        <v>39158.799999999996</v>
      </c>
      <c r="H109" s="98">
        <f>$D:$D/$G:$G*100</f>
        <v>109.18337640581429</v>
      </c>
      <c r="I109" s="30">
        <f t="shared" si="0"/>
        <v>42754.899999999994</v>
      </c>
    </row>
    <row r="110" spans="1:9" ht="12.75">
      <c r="A110" s="8" t="s">
        <v>47</v>
      </c>
      <c r="B110" s="82">
        <v>241903</v>
      </c>
      <c r="C110" s="71">
        <v>41930.2</v>
      </c>
      <c r="D110" s="71">
        <v>41930.2</v>
      </c>
      <c r="E110" s="48">
        <f>$D:$D/$B:$B*100</f>
        <v>17.333476641463726</v>
      </c>
      <c r="F110" s="48">
        <f>$D:$D/$C:$C*100</f>
        <v>100</v>
      </c>
      <c r="G110" s="82">
        <v>38054.6</v>
      </c>
      <c r="H110" s="48">
        <f>$D:$D/$G:$G*100</f>
        <v>110.1843141170844</v>
      </c>
      <c r="I110" s="82">
        <f t="shared" si="0"/>
        <v>41930.2</v>
      </c>
    </row>
    <row r="111" spans="1:9" ht="25.5">
      <c r="A111" s="8" t="s">
        <v>48</v>
      </c>
      <c r="B111" s="82">
        <v>84810.3</v>
      </c>
      <c r="C111" s="71">
        <v>1012.4</v>
      </c>
      <c r="D111" s="71">
        <v>824.7</v>
      </c>
      <c r="E111" s="48">
        <f>$D:$D/$B:$B*100</f>
        <v>0.9724054743350748</v>
      </c>
      <c r="F111" s="48">
        <f>$D:$D/$C:$C*100</f>
        <v>81.45989727380483</v>
      </c>
      <c r="G111" s="82">
        <v>1104.2</v>
      </c>
      <c r="H111" s="48">
        <f>$D:$D/$G:$G*100</f>
        <v>74.68755660206484</v>
      </c>
      <c r="I111" s="82">
        <f t="shared" si="0"/>
        <v>824.7</v>
      </c>
    </row>
    <row r="112" spans="1:9" ht="12.75">
      <c r="A112" s="11" t="s">
        <v>97</v>
      </c>
      <c r="B112" s="30">
        <f>B113</f>
        <v>195.8</v>
      </c>
      <c r="C112" s="30">
        <f>C113</f>
        <v>0</v>
      </c>
      <c r="D112" s="30">
        <f>D113</f>
        <v>0</v>
      </c>
      <c r="E112" s="98">
        <f>$D:$D/$B:$B*100</f>
        <v>0</v>
      </c>
      <c r="F112" s="98">
        <v>0</v>
      </c>
      <c r="G112" s="30">
        <f>G113</f>
        <v>0</v>
      </c>
      <c r="H112" s="48">
        <v>0</v>
      </c>
      <c r="I112" s="82">
        <f t="shared" si="0"/>
        <v>0</v>
      </c>
    </row>
    <row r="113" spans="1:9" ht="12.75">
      <c r="A113" s="8" t="s">
        <v>98</v>
      </c>
      <c r="B113" s="82">
        <v>195.8</v>
      </c>
      <c r="C113" s="82">
        <v>0</v>
      </c>
      <c r="D113" s="82">
        <v>0</v>
      </c>
      <c r="E113" s="48">
        <f>$D:$D/$B:$B*100</f>
        <v>0</v>
      </c>
      <c r="F113" s="48">
        <v>0</v>
      </c>
      <c r="G113" s="82">
        <v>0</v>
      </c>
      <c r="H113" s="48">
        <v>0</v>
      </c>
      <c r="I113" s="82">
        <f t="shared" si="0"/>
        <v>0</v>
      </c>
    </row>
    <row r="114" spans="1:9" ht="12.75">
      <c r="A114" s="11" t="s">
        <v>49</v>
      </c>
      <c r="B114" s="30">
        <f>B115+B116+B117+B118+B119</f>
        <v>182216.65</v>
      </c>
      <c r="C114" s="30">
        <f>C115+C116+C117+C118+C119</f>
        <v>29512.5</v>
      </c>
      <c r="D114" s="30">
        <f>D115+D116+D117+D118+D119</f>
        <v>29512</v>
      </c>
      <c r="E114" s="98">
        <f>$D:$D/$B:$B*100</f>
        <v>16.196105021138298</v>
      </c>
      <c r="F114" s="98">
        <f>$D:$D/$C:$C*100</f>
        <v>99.998305802626</v>
      </c>
      <c r="G114" s="30">
        <f>G115+G116+G117+G118+G119</f>
        <v>14509.4</v>
      </c>
      <c r="H114" s="98">
        <f>$D:$D/$G:$G*100</f>
        <v>203.39917570678318</v>
      </c>
      <c r="I114" s="82">
        <f>D114</f>
        <v>29512</v>
      </c>
    </row>
    <row r="115" spans="1:9" ht="12.75">
      <c r="A115" s="8" t="s">
        <v>50</v>
      </c>
      <c r="B115" s="82">
        <f>2909750/1000</f>
        <v>2909.75</v>
      </c>
      <c r="C115" s="71">
        <v>647.2</v>
      </c>
      <c r="D115" s="71">
        <v>647.2</v>
      </c>
      <c r="E115" s="48">
        <f>$D:$D/$B:$B*100</f>
        <v>22.242460692499357</v>
      </c>
      <c r="F115" s="48">
        <v>0</v>
      </c>
      <c r="G115" s="82">
        <v>471.6</v>
      </c>
      <c r="H115" s="48">
        <f>$D:$D/$G:$G*100</f>
        <v>137.23494486853264</v>
      </c>
      <c r="I115" s="82">
        <f t="shared" si="0"/>
        <v>647.2</v>
      </c>
    </row>
    <row r="116" spans="1:9" ht="12.75" hidden="1">
      <c r="A116" s="8" t="s">
        <v>51</v>
      </c>
      <c r="B116" s="82">
        <v>0</v>
      </c>
      <c r="C116" s="71">
        <v>0</v>
      </c>
      <c r="D116" s="71">
        <v>0</v>
      </c>
      <c r="E116" s="48" t="e">
        <f>$D:$D/$B:$B*100</f>
        <v>#DIV/0!</v>
      </c>
      <c r="F116" s="48" t="e">
        <f>$D:$D/$C:$C*100</f>
        <v>#DIV/0!</v>
      </c>
      <c r="G116" s="82">
        <v>0</v>
      </c>
      <c r="H116" s="48" t="e">
        <f>$D:$D/$G:$G*100</f>
        <v>#DIV/0!</v>
      </c>
      <c r="I116" s="82">
        <f t="shared" si="0"/>
        <v>0</v>
      </c>
    </row>
    <row r="117" spans="1:9" ht="12.75">
      <c r="A117" s="8" t="s">
        <v>52</v>
      </c>
      <c r="B117" s="85">
        <v>90352</v>
      </c>
      <c r="C117" s="71">
        <v>25168.8</v>
      </c>
      <c r="D117" s="71">
        <v>25168.8</v>
      </c>
      <c r="E117" s="48">
        <f>$D:$D/$B:$B*100</f>
        <v>27.856383920665838</v>
      </c>
      <c r="F117" s="48">
        <v>0</v>
      </c>
      <c r="G117" s="82">
        <v>11872.5</v>
      </c>
      <c r="H117" s="48">
        <f>$D:$D/$G:$G*100</f>
        <v>211.9924194567277</v>
      </c>
      <c r="I117" s="82">
        <f t="shared" si="0"/>
        <v>25168.8</v>
      </c>
    </row>
    <row r="118" spans="1:9" ht="12.75">
      <c r="A118" s="8" t="s">
        <v>53</v>
      </c>
      <c r="B118" s="82">
        <v>86620.8</v>
      </c>
      <c r="C118" s="71">
        <v>3104</v>
      </c>
      <c r="D118" s="71">
        <v>3103.5</v>
      </c>
      <c r="E118" s="48">
        <f>$D:$D/$B:$B*100</f>
        <v>3.582857696996564</v>
      </c>
      <c r="F118" s="48">
        <f>$D:$D/$C:$C*100</f>
        <v>99.9838917525773</v>
      </c>
      <c r="G118" s="85">
        <v>1587.5</v>
      </c>
      <c r="H118" s="48">
        <f>$D:$D/$G:$G*100</f>
        <v>195.49606299212599</v>
      </c>
      <c r="I118" s="82">
        <f t="shared" si="0"/>
        <v>3103.5</v>
      </c>
    </row>
    <row r="119" spans="1:9" ht="12.75">
      <c r="A119" s="8" t="s">
        <v>54</v>
      </c>
      <c r="B119" s="82">
        <v>2334.1</v>
      </c>
      <c r="C119" s="71">
        <v>592.5</v>
      </c>
      <c r="D119" s="71">
        <v>592.5</v>
      </c>
      <c r="E119" s="48">
        <f>$D:$D/$B:$B*100</f>
        <v>25.384516516001888</v>
      </c>
      <c r="F119" s="48"/>
      <c r="G119" s="82">
        <v>577.8</v>
      </c>
      <c r="H119" s="48">
        <f>$D:$D/$G:$G*100</f>
        <v>102.54413291796469</v>
      </c>
      <c r="I119" s="82">
        <f t="shared" si="0"/>
        <v>592.5</v>
      </c>
    </row>
    <row r="120" spans="1:9" ht="12.75">
      <c r="A120" s="11" t="s">
        <v>61</v>
      </c>
      <c r="B120" s="99">
        <f>B121+B122+B123</f>
        <v>220491.59999999998</v>
      </c>
      <c r="C120" s="85">
        <f>C121+C122+C123</f>
        <v>85464.40000000001</v>
      </c>
      <c r="D120" s="85">
        <f>D121+D122+D123</f>
        <v>85432.3</v>
      </c>
      <c r="E120" s="98">
        <f>$D:$D/$B:$B*100</f>
        <v>38.74628330512365</v>
      </c>
      <c r="F120" s="98">
        <f>$D:$D/$C:$C*100</f>
        <v>99.96244050154216</v>
      </c>
      <c r="G120" s="99">
        <f>G121+G122+G123</f>
        <v>26490.9</v>
      </c>
      <c r="H120" s="98">
        <f>$D:$D/$G:$G*100</f>
        <v>322.4967819137893</v>
      </c>
      <c r="I120" s="82">
        <f t="shared" si="0"/>
        <v>85432.3</v>
      </c>
    </row>
    <row r="121" spans="1:9" ht="12.75">
      <c r="A121" s="41" t="s">
        <v>62</v>
      </c>
      <c r="B121" s="85">
        <v>100991.9</v>
      </c>
      <c r="C121" s="71">
        <v>23255.2</v>
      </c>
      <c r="D121" s="71">
        <v>23255.2</v>
      </c>
      <c r="E121" s="48">
        <f>$D:$D/$B:$B*100</f>
        <v>23.026797198587214</v>
      </c>
      <c r="F121" s="48">
        <f>$D:$D/$C:$C*100</f>
        <v>100</v>
      </c>
      <c r="G121" s="85">
        <v>23797</v>
      </c>
      <c r="H121" s="48">
        <f>$D:$D/$G:$G*100</f>
        <v>97.72324242551582</v>
      </c>
      <c r="I121" s="82">
        <f t="shared" si="0"/>
        <v>23255.2</v>
      </c>
    </row>
    <row r="122" spans="1:9" ht="24.75" customHeight="1">
      <c r="A122" s="12" t="s">
        <v>63</v>
      </c>
      <c r="B122" s="85">
        <v>115207.7</v>
      </c>
      <c r="C122" s="71">
        <v>60808.9</v>
      </c>
      <c r="D122" s="71">
        <v>60808.9</v>
      </c>
      <c r="E122" s="48">
        <v>0</v>
      </c>
      <c r="F122" s="48">
        <v>0</v>
      </c>
      <c r="G122" s="85">
        <v>1447</v>
      </c>
      <c r="H122" s="48">
        <f>$D:$D/$G:$G*100</f>
        <v>4202.411886662059</v>
      </c>
      <c r="I122" s="82">
        <f t="shared" si="0"/>
        <v>60808.9</v>
      </c>
    </row>
    <row r="123" spans="1:9" ht="25.5">
      <c r="A123" s="12" t="s">
        <v>73</v>
      </c>
      <c r="B123" s="85">
        <v>4292</v>
      </c>
      <c r="C123" s="71">
        <v>1400.3</v>
      </c>
      <c r="D123" s="71">
        <v>1368.2</v>
      </c>
      <c r="E123" s="48">
        <f>$D:$D/$B:$B*100</f>
        <v>31.877912395153775</v>
      </c>
      <c r="F123" s="48">
        <f>$D:$D/$C:$C*100</f>
        <v>97.70763407841177</v>
      </c>
      <c r="G123" s="85">
        <v>1246.9</v>
      </c>
      <c r="H123" s="48">
        <f>$D:$D/$G:$G*100</f>
        <v>109.72812575186461</v>
      </c>
      <c r="I123" s="82">
        <f t="shared" si="0"/>
        <v>1368.2</v>
      </c>
    </row>
    <row r="124" spans="1:9" ht="26.25" customHeight="1">
      <c r="A124" s="13" t="s">
        <v>80</v>
      </c>
      <c r="B124" s="99">
        <f>B125</f>
        <v>100</v>
      </c>
      <c r="C124" s="71">
        <v>2.01384</v>
      </c>
      <c r="D124" s="71">
        <v>2.01384</v>
      </c>
      <c r="E124" s="48">
        <f>$D:$D/$B:$B*100</f>
        <v>2.01384</v>
      </c>
      <c r="F124" s="48">
        <v>0</v>
      </c>
      <c r="G124" s="99">
        <f>G125</f>
        <v>0</v>
      </c>
      <c r="H124" s="48">
        <v>0</v>
      </c>
      <c r="I124" s="82">
        <f t="shared" si="0"/>
        <v>2.01384</v>
      </c>
    </row>
    <row r="125" spans="1:9" ht="13.5" customHeight="1">
      <c r="A125" s="12" t="s">
        <v>81</v>
      </c>
      <c r="B125" s="85">
        <v>100</v>
      </c>
      <c r="C125" s="82">
        <f>2013.84/1000</f>
        <v>2.01384</v>
      </c>
      <c r="D125" s="82">
        <f>2013.84/1000</f>
        <v>2.01384</v>
      </c>
      <c r="E125" s="48">
        <f>$D:$D/$B:$B*100</f>
        <v>2.01384</v>
      </c>
      <c r="F125" s="48">
        <v>0</v>
      </c>
      <c r="G125" s="85">
        <v>0</v>
      </c>
      <c r="H125" s="48">
        <v>0</v>
      </c>
      <c r="I125" s="82">
        <f t="shared" si="0"/>
        <v>2.01384</v>
      </c>
    </row>
    <row r="126" spans="1:9" ht="15.75" customHeight="1">
      <c r="A126" s="14" t="s">
        <v>55</v>
      </c>
      <c r="B126" s="30">
        <f>B78+B87+B88+B89+B95+B102+B109+B112+B114+B120+B124+B100</f>
        <v>4055883.3499999996</v>
      </c>
      <c r="C126" s="30">
        <f>C78+C87+C88+C89+C95+C102+C109+C112+C114+C120+C124+C100</f>
        <v>706158.8138400001</v>
      </c>
      <c r="D126" s="30">
        <f>D78+D87+D88+D89+D95+D102+D109+D112+D114+D120+D124+D100</f>
        <v>687647.9138400002</v>
      </c>
      <c r="E126" s="98">
        <f>$D:$D/$B:$B*100</f>
        <v>16.954331633822758</v>
      </c>
      <c r="F126" s="98">
        <f>$D:$D/$C:$C*100</f>
        <v>97.37864915976337</v>
      </c>
      <c r="G126" s="30">
        <f>G78+G87+G88+G89+G95+G102+G109+G112+G114+G120+G124+G100</f>
        <v>596879.6000000001</v>
      </c>
      <c r="H126" s="98">
        <f>$D:$D/$G:$G*100</f>
        <v>115.20713957052646</v>
      </c>
      <c r="I126" s="30">
        <f>I78+I87+I88+I89+I95+I102+I109+I112+I114+I120+I124</f>
        <v>687296.2138400001</v>
      </c>
    </row>
    <row r="127" spans="1:9" ht="26.25" customHeight="1">
      <c r="A127" s="15" t="s">
        <v>56</v>
      </c>
      <c r="B127" s="30">
        <f>B72-B126</f>
        <v>-95281.52999999933</v>
      </c>
      <c r="C127" s="30">
        <f>C72-C126</f>
        <v>46549.08490999986</v>
      </c>
      <c r="D127" s="30">
        <f>D72-D126</f>
        <v>62425.98615999974</v>
      </c>
      <c r="E127" s="30"/>
      <c r="F127" s="30"/>
      <c r="G127" s="30">
        <f>G76-G126</f>
        <v>-596879.6000000001</v>
      </c>
      <c r="H127" s="30"/>
      <c r="I127" s="30">
        <f>I72-I126</f>
        <v>-407631.6019100002</v>
      </c>
    </row>
    <row r="128" spans="1:9" ht="24" customHeight="1">
      <c r="A128" s="1" t="s">
        <v>57</v>
      </c>
      <c r="B128" s="85" t="s">
        <v>165</v>
      </c>
      <c r="C128" s="85"/>
      <c r="D128" s="85" t="s">
        <v>160</v>
      </c>
      <c r="E128" s="85"/>
      <c r="F128" s="85"/>
      <c r="G128" s="85" t="s">
        <v>162</v>
      </c>
      <c r="H128" s="99"/>
      <c r="I128" s="85"/>
    </row>
    <row r="129" spans="1:9" ht="12.75">
      <c r="A129" s="3" t="s">
        <v>58</v>
      </c>
      <c r="B129" s="100">
        <f>B131+B132</f>
        <v>42871.7</v>
      </c>
      <c r="C129" s="100"/>
      <c r="D129" s="100">
        <f>D131+D132</f>
        <v>93247.5</v>
      </c>
      <c r="E129" s="85"/>
      <c r="F129" s="85"/>
      <c r="G129" s="99">
        <f>G131+G132</f>
        <v>94182.5</v>
      </c>
      <c r="H129" s="85"/>
      <c r="I129" s="85">
        <f>D129</f>
        <v>93247.5</v>
      </c>
    </row>
    <row r="130" spans="1:9" ht="12" customHeight="1">
      <c r="A130" s="1" t="s">
        <v>6</v>
      </c>
      <c r="B130" s="101"/>
      <c r="C130" s="85"/>
      <c r="D130" s="85"/>
      <c r="E130" s="85"/>
      <c r="F130" s="85"/>
      <c r="G130" s="85"/>
      <c r="H130" s="85"/>
      <c r="I130" s="85"/>
    </row>
    <row r="131" spans="1:9" ht="12.75">
      <c r="A131" s="5" t="s">
        <v>59</v>
      </c>
      <c r="B131" s="101">
        <f>Март!B130</f>
        <v>24892.3</v>
      </c>
      <c r="C131" s="85"/>
      <c r="D131" s="85">
        <v>60071.5</v>
      </c>
      <c r="E131" s="85"/>
      <c r="F131" s="85"/>
      <c r="G131" s="85">
        <v>42668.3</v>
      </c>
      <c r="H131" s="85"/>
      <c r="I131" s="85">
        <f>D131</f>
        <v>60071.5</v>
      </c>
    </row>
    <row r="132" spans="1:9" ht="12.75">
      <c r="A132" s="1" t="s">
        <v>60</v>
      </c>
      <c r="B132" s="101">
        <f>Март!B131</f>
        <v>17979.4</v>
      </c>
      <c r="C132" s="85"/>
      <c r="D132" s="85">
        <f>93247.5-60071.5</f>
        <v>33176</v>
      </c>
      <c r="E132" s="85"/>
      <c r="F132" s="85"/>
      <c r="G132" s="85">
        <v>51514.2</v>
      </c>
      <c r="H132" s="85"/>
      <c r="I132" s="85">
        <f>D132</f>
        <v>33176</v>
      </c>
    </row>
    <row r="133" spans="1:9" ht="12.75">
      <c r="A133" s="3" t="s">
        <v>99</v>
      </c>
      <c r="B133" s="100">
        <f>B134-B135</f>
        <v>52410</v>
      </c>
      <c r="C133" s="102"/>
      <c r="D133" s="99">
        <v>-12050</v>
      </c>
      <c r="E133" s="102"/>
      <c r="F133" s="102"/>
      <c r="G133" s="102">
        <v>0</v>
      </c>
      <c r="H133" s="102"/>
      <c r="I133" s="102"/>
    </row>
    <row r="134" spans="1:9" ht="12.75">
      <c r="A134" s="2" t="s">
        <v>100</v>
      </c>
      <c r="B134" s="101">
        <f>Март!B133</f>
        <v>64460</v>
      </c>
      <c r="C134" s="103"/>
      <c r="D134" s="103" t="s">
        <v>149</v>
      </c>
      <c r="E134" s="103"/>
      <c r="F134" s="103"/>
      <c r="G134" s="103">
        <v>0</v>
      </c>
      <c r="H134" s="103"/>
      <c r="I134" s="103">
        <v>0</v>
      </c>
    </row>
    <row r="135" spans="1:9" ht="12.75">
      <c r="A135" s="2" t="s">
        <v>101</v>
      </c>
      <c r="B135" s="101">
        <f>Март!B134</f>
        <v>12050</v>
      </c>
      <c r="C135" s="103"/>
      <c r="D135" s="85">
        <v>12050</v>
      </c>
      <c r="E135" s="103"/>
      <c r="F135" s="103"/>
      <c r="G135" s="103">
        <v>0</v>
      </c>
      <c r="H135" s="103"/>
      <c r="I135" s="103">
        <v>0</v>
      </c>
    </row>
    <row r="136" spans="1:9" ht="12.75">
      <c r="A136" s="16"/>
      <c r="B136" s="25"/>
      <c r="C136" s="25"/>
      <c r="D136" s="25"/>
      <c r="E136" s="25"/>
      <c r="F136" s="25"/>
      <c r="G136" s="22"/>
      <c r="H136" s="25"/>
      <c r="I136" s="25"/>
    </row>
    <row r="138" ht="12" customHeight="1">
      <c r="A138" s="22" t="s">
        <v>79</v>
      </c>
    </row>
    <row r="139" ht="12.75" customHeight="1" hidden="1"/>
    <row r="141" spans="1:9" ht="31.5">
      <c r="A141" s="17" t="s">
        <v>103</v>
      </c>
      <c r="B141" s="24"/>
      <c r="C141" s="24"/>
      <c r="D141" s="24" t="s">
        <v>137</v>
      </c>
      <c r="E141" s="24"/>
      <c r="F141" s="24"/>
      <c r="G141" s="24"/>
      <c r="H141" s="24"/>
      <c r="I141" s="25"/>
    </row>
  </sheetData>
  <sheetProtection/>
  <mergeCells count="5">
    <mergeCell ref="A1:H1"/>
    <mergeCell ref="A2:H2"/>
    <mergeCell ref="A3:H3"/>
    <mergeCell ref="A6:I6"/>
    <mergeCell ref="A77:I77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11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38" sqref="D138"/>
    </sheetView>
  </sheetViews>
  <sheetFormatPr defaultColWidth="9.00390625" defaultRowHeight="12.75"/>
  <cols>
    <col min="1" max="1" width="44.875" style="22" customWidth="1"/>
    <col min="2" max="2" width="11.25390625" style="23" customWidth="1"/>
    <col min="3" max="3" width="13.125" style="23" customWidth="1"/>
    <col min="4" max="4" width="11.625" style="23" customWidth="1"/>
    <col min="5" max="5" width="12.75390625" style="23" customWidth="1"/>
    <col min="6" max="6" width="14.125" style="23" customWidth="1"/>
    <col min="7" max="7" width="12.00390625" style="23" customWidth="1"/>
    <col min="8" max="8" width="11.875" style="23" customWidth="1"/>
    <col min="9" max="9" width="10.00390625" style="23" customWidth="1"/>
    <col min="10" max="16384" width="9.125" style="22" customWidth="1"/>
  </cols>
  <sheetData>
    <row r="1" spans="1:9" ht="15">
      <c r="A1" s="89" t="s">
        <v>102</v>
      </c>
      <c r="B1" s="89"/>
      <c r="C1" s="89"/>
      <c r="D1" s="89"/>
      <c r="E1" s="89"/>
      <c r="F1" s="89"/>
      <c r="G1" s="89"/>
      <c r="H1" s="89"/>
      <c r="I1" s="31"/>
    </row>
    <row r="2" spans="1:9" ht="15">
      <c r="A2" s="90" t="s">
        <v>141</v>
      </c>
      <c r="B2" s="90"/>
      <c r="C2" s="90"/>
      <c r="D2" s="90"/>
      <c r="E2" s="90"/>
      <c r="F2" s="90"/>
      <c r="G2" s="90"/>
      <c r="H2" s="90"/>
      <c r="I2" s="32"/>
    </row>
    <row r="3" spans="1:9" ht="5.25" customHeight="1" hidden="1">
      <c r="A3" s="91" t="s">
        <v>0</v>
      </c>
      <c r="B3" s="91"/>
      <c r="C3" s="91"/>
      <c r="D3" s="91"/>
      <c r="E3" s="91"/>
      <c r="F3" s="91"/>
      <c r="G3" s="91"/>
      <c r="H3" s="91"/>
      <c r="I3" s="33"/>
    </row>
    <row r="4" spans="1:9" ht="45" customHeight="1">
      <c r="A4" s="4" t="s">
        <v>1</v>
      </c>
      <c r="B4" s="18" t="s">
        <v>2</v>
      </c>
      <c r="C4" s="18" t="s">
        <v>142</v>
      </c>
      <c r="D4" s="18" t="s">
        <v>68</v>
      </c>
      <c r="E4" s="18" t="s">
        <v>66</v>
      </c>
      <c r="F4" s="18" t="s">
        <v>69</v>
      </c>
      <c r="G4" s="18" t="s">
        <v>136</v>
      </c>
      <c r="H4" s="19" t="s">
        <v>65</v>
      </c>
      <c r="I4" s="18" t="s">
        <v>71</v>
      </c>
    </row>
    <row r="5" spans="1:9" ht="13.5" thickBot="1">
      <c r="A5" s="6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1">
        <v>8</v>
      </c>
      <c r="I5" s="34">
        <v>9</v>
      </c>
    </row>
    <row r="6" spans="1:9" ht="12.75">
      <c r="A6" s="95" t="s">
        <v>3</v>
      </c>
      <c r="B6" s="96"/>
      <c r="C6" s="96"/>
      <c r="D6" s="96"/>
      <c r="E6" s="96"/>
      <c r="F6" s="96"/>
      <c r="G6" s="96"/>
      <c r="H6" s="96"/>
      <c r="I6" s="97"/>
    </row>
    <row r="7" spans="1:9" ht="12.75">
      <c r="A7" s="51" t="s">
        <v>104</v>
      </c>
      <c r="B7" s="62">
        <f>B8+B15+B20+B24+B27+B31+B34+B43+B44+B45+B49</f>
        <v>442159.12999999995</v>
      </c>
      <c r="C7" s="62">
        <f>C8+C15+C20+C24+C27+C31+C34+C43+C44+C45+C49+C60</f>
        <v>155600.58000000002</v>
      </c>
      <c r="D7" s="62">
        <f>D8+D15+D20+D24+D27+D31+D34+D43+D44+D45+D49+D60</f>
        <v>154661.89</v>
      </c>
      <c r="E7" s="50">
        <f>$D:$D/$B:$B*100</f>
        <v>34.978784674196376</v>
      </c>
      <c r="F7" s="50">
        <f>$D:$D/$C:$C*100</f>
        <v>99.39673104046271</v>
      </c>
      <c r="G7" s="62">
        <f>G8+G15+G20+G24+G27+G31+G34+G43+G44+G45+G49+G60</f>
        <v>155699.99999999997</v>
      </c>
      <c r="H7" s="50">
        <f>$D:$D/$G:$G*100</f>
        <v>99.33326268465</v>
      </c>
      <c r="I7" s="62">
        <f>I8+I15+I20+I24+I27+I31+I34+I43+I44+I45+I49+I60</f>
        <v>24373.72</v>
      </c>
    </row>
    <row r="8" spans="1:9" ht="12.75">
      <c r="A8" s="52" t="s">
        <v>4</v>
      </c>
      <c r="B8" s="63">
        <f>B9+B10</f>
        <v>276033.23999999993</v>
      </c>
      <c r="C8" s="63">
        <f>C9+C10</f>
        <v>96839</v>
      </c>
      <c r="D8" s="63">
        <f>D9+D10</f>
        <v>99771.58</v>
      </c>
      <c r="E8" s="50">
        <f>$D:$D/$B:$B*100</f>
        <v>36.144770100876265</v>
      </c>
      <c r="F8" s="50">
        <f>$D:$D/$C:$C*100</f>
        <v>103.02830471194457</v>
      </c>
      <c r="G8" s="63">
        <f>G9+G10</f>
        <v>94000.92</v>
      </c>
      <c r="H8" s="50">
        <f>$D:$D/$G:$G*100</f>
        <v>106.13893991675826</v>
      </c>
      <c r="I8" s="63">
        <f>I9+I10</f>
        <v>17698.649999999998</v>
      </c>
    </row>
    <row r="9" spans="1:9" ht="25.5">
      <c r="A9" s="53" t="s">
        <v>5</v>
      </c>
      <c r="B9" s="61">
        <v>6017.6</v>
      </c>
      <c r="C9" s="61">
        <v>2599</v>
      </c>
      <c r="D9" s="61">
        <v>5598.77</v>
      </c>
      <c r="E9" s="50">
        <f>$D:$D/$B:$B*100</f>
        <v>93.03991624567935</v>
      </c>
      <c r="F9" s="50">
        <f>$D:$D/$C:$C*100</f>
        <v>215.42016160061564</v>
      </c>
      <c r="G9" s="61">
        <v>1085.12</v>
      </c>
      <c r="H9" s="50">
        <f>$D:$D/$G:$G*100</f>
        <v>515.9586036567385</v>
      </c>
      <c r="I9" s="61">
        <v>661.01</v>
      </c>
    </row>
    <row r="10" spans="1:9" ht="12.75" customHeight="1">
      <c r="A10" s="54" t="s">
        <v>70</v>
      </c>
      <c r="B10" s="65">
        <f>B11+B12+B13+B14</f>
        <v>270015.63999999996</v>
      </c>
      <c r="C10" s="65">
        <f>C11+C12+C13+C14</f>
        <v>94240</v>
      </c>
      <c r="D10" s="65">
        <f>D11+D12+D13+D14</f>
        <v>94172.81</v>
      </c>
      <c r="E10" s="55">
        <f>$D:$D/$B:$B*100</f>
        <v>34.87679824768669</v>
      </c>
      <c r="F10" s="50">
        <f>$D:$D/$C:$C*100</f>
        <v>99.9287033106961</v>
      </c>
      <c r="G10" s="65">
        <f>G11+G12+G13+G14</f>
        <v>92915.8</v>
      </c>
      <c r="H10" s="55">
        <f>$D:$D/$G:$G*100</f>
        <v>101.35284849293662</v>
      </c>
      <c r="I10" s="65">
        <f>I11+I12+I13+I14</f>
        <v>17037.64</v>
      </c>
    </row>
    <row r="11" spans="1:9" ht="12.75" customHeight="1">
      <c r="A11" s="56" t="s">
        <v>74</v>
      </c>
      <c r="B11" s="66">
        <v>258218.54</v>
      </c>
      <c r="C11" s="66">
        <v>92000</v>
      </c>
      <c r="D11" s="66">
        <v>91807.69</v>
      </c>
      <c r="E11" s="50">
        <f>$D:$D/$B:$B*100</f>
        <v>35.554259581825534</v>
      </c>
      <c r="F11" s="50">
        <f>$D:$D/$C:$C*100</f>
        <v>99.79096739130435</v>
      </c>
      <c r="G11" s="66">
        <v>90455.84999999999</v>
      </c>
      <c r="H11" s="50">
        <f>$D:$D/$G:$G*100</f>
        <v>101.49447492892942</v>
      </c>
      <c r="I11" s="66">
        <v>16542.63</v>
      </c>
    </row>
    <row r="12" spans="1:9" ht="12.75" customHeight="1">
      <c r="A12" s="56" t="s">
        <v>75</v>
      </c>
      <c r="B12" s="66">
        <v>4039.82</v>
      </c>
      <c r="C12" s="66">
        <v>210</v>
      </c>
      <c r="D12" s="66">
        <v>473.37</v>
      </c>
      <c r="E12" s="50">
        <f>$D:$D/$B:$B*100</f>
        <v>11.717601279264917</v>
      </c>
      <c r="F12" s="50">
        <f>$D:$D/$C:$C*100</f>
        <v>225.4142857142857</v>
      </c>
      <c r="G12" s="66">
        <v>257.14000000000004</v>
      </c>
      <c r="H12" s="50">
        <f>$D:$D/$G:$G*100</f>
        <v>184.09037878198643</v>
      </c>
      <c r="I12" s="66">
        <v>185.54</v>
      </c>
    </row>
    <row r="13" spans="1:9" ht="12.75" customHeight="1">
      <c r="A13" s="56" t="s">
        <v>76</v>
      </c>
      <c r="B13" s="66">
        <v>4853.42</v>
      </c>
      <c r="C13" s="66">
        <v>930</v>
      </c>
      <c r="D13" s="66">
        <v>345.40000000000003</v>
      </c>
      <c r="E13" s="50">
        <f>$D:$D/$B:$B*100</f>
        <v>7.116631159058974</v>
      </c>
      <c r="F13" s="50">
        <f>$D:$D/$C:$C*100</f>
        <v>37.13978494623657</v>
      </c>
      <c r="G13" s="66">
        <v>876.32</v>
      </c>
      <c r="H13" s="50">
        <f>$D:$D/$G:$G*100</f>
        <v>39.41482563447143</v>
      </c>
      <c r="I13" s="66">
        <v>-0.45</v>
      </c>
    </row>
    <row r="14" spans="1:9" ht="12.75" customHeight="1">
      <c r="A14" s="57" t="s">
        <v>78</v>
      </c>
      <c r="B14" s="66">
        <v>2903.86</v>
      </c>
      <c r="C14" s="66">
        <v>1100</v>
      </c>
      <c r="D14" s="66">
        <v>1546.35</v>
      </c>
      <c r="E14" s="50">
        <f>$D:$D/$B:$B*100</f>
        <v>53.25153416487021</v>
      </c>
      <c r="F14" s="50">
        <f>$D:$D/$C:$C*100</f>
        <v>140.5772727272727</v>
      </c>
      <c r="G14" s="66">
        <v>1326.49</v>
      </c>
      <c r="H14" s="50">
        <f>$D:$D/$G:$G*100</f>
        <v>116.57456897526555</v>
      </c>
      <c r="I14" s="66">
        <v>309.92</v>
      </c>
    </row>
    <row r="15" spans="1:9" ht="12.75" customHeight="1">
      <c r="A15" s="58" t="s">
        <v>82</v>
      </c>
      <c r="B15" s="62">
        <f>B16+B17+B18+B19</f>
        <v>23712</v>
      </c>
      <c r="C15" s="62">
        <f>C16+C17+C18+C19</f>
        <v>9276.46</v>
      </c>
      <c r="D15" s="62">
        <f>D16+D17+D18+D19</f>
        <v>8218.18</v>
      </c>
      <c r="E15" s="50">
        <f>$D:$D/$B:$B*100</f>
        <v>34.65831646423752</v>
      </c>
      <c r="F15" s="50">
        <f>$D:$D/$C:$C*100</f>
        <v>88.59176884285601</v>
      </c>
      <c r="G15" s="62">
        <f>G16+G17+G18+G19</f>
        <v>9224.9</v>
      </c>
      <c r="H15" s="50">
        <f>$D:$D/$G:$G*100</f>
        <v>89.08692777157476</v>
      </c>
      <c r="I15" s="62">
        <f>I16+I17+I18+I19</f>
        <v>1260.3600000000001</v>
      </c>
    </row>
    <row r="16" spans="1:9" ht="12.75" customHeight="1">
      <c r="A16" s="39" t="s">
        <v>83</v>
      </c>
      <c r="B16" s="66">
        <v>10865.8</v>
      </c>
      <c r="C16" s="73">
        <v>4167.41</v>
      </c>
      <c r="D16" s="73">
        <v>3865.11</v>
      </c>
      <c r="E16" s="50">
        <f>$D:$D/$B:$B*100</f>
        <v>35.57133391006645</v>
      </c>
      <c r="F16" s="50">
        <f>$D:$D/$C:$C*100</f>
        <v>92.74609409681314</v>
      </c>
      <c r="G16" s="66">
        <v>4167.41</v>
      </c>
      <c r="H16" s="50">
        <f>$D:$D/$G:$G*100</f>
        <v>92.74609409681314</v>
      </c>
      <c r="I16" s="74">
        <v>679.25</v>
      </c>
    </row>
    <row r="17" spans="1:9" ht="12.75" customHeight="1">
      <c r="A17" s="39" t="s">
        <v>84</v>
      </c>
      <c r="B17" s="66">
        <v>56</v>
      </c>
      <c r="C17" s="73">
        <v>25</v>
      </c>
      <c r="D17" s="73">
        <v>24.62</v>
      </c>
      <c r="E17" s="50">
        <f>$D:$D/$B:$B*100</f>
        <v>43.964285714285715</v>
      </c>
      <c r="F17" s="50">
        <f>$D:$D/$C:$C*100</f>
        <v>98.48</v>
      </c>
      <c r="G17" s="66">
        <v>31.309999999999995</v>
      </c>
      <c r="H17" s="50">
        <f>$D:$D/$G:$G*100</f>
        <v>78.63302459278188</v>
      </c>
      <c r="I17" s="74">
        <v>5.5</v>
      </c>
    </row>
    <row r="18" spans="1:9" ht="51">
      <c r="A18" s="39" t="s">
        <v>85</v>
      </c>
      <c r="B18" s="66">
        <v>14192.6</v>
      </c>
      <c r="C18" s="73">
        <v>5784.05</v>
      </c>
      <c r="D18" s="73">
        <v>5138.2699999999995</v>
      </c>
      <c r="E18" s="50">
        <f>$D:$D/$B:$B*100</f>
        <v>36.203866803827346</v>
      </c>
      <c r="F18" s="50">
        <f>$D:$D/$C:$C*100</f>
        <v>88.83515875554325</v>
      </c>
      <c r="G18" s="66">
        <v>5784.05</v>
      </c>
      <c r="H18" s="50">
        <f>$D:$D/$G:$G*100</f>
        <v>88.83515875554325</v>
      </c>
      <c r="I18" s="74">
        <v>757.7</v>
      </c>
    </row>
    <row r="19" spans="1:9" ht="51" customHeight="1">
      <c r="A19" s="39" t="s">
        <v>86</v>
      </c>
      <c r="B19" s="66">
        <v>-1402.4</v>
      </c>
      <c r="C19" s="73">
        <v>-700</v>
      </c>
      <c r="D19" s="73">
        <v>-809.82</v>
      </c>
      <c r="E19" s="50">
        <f>$D:$D/$B:$B*100</f>
        <v>57.74529378208785</v>
      </c>
      <c r="F19" s="50">
        <f>$D:$D/$C:$C*100</f>
        <v>115.68857142857144</v>
      </c>
      <c r="G19" s="66">
        <v>-757.87</v>
      </c>
      <c r="H19" s="50">
        <f>$D:$D/$G:$G*100</f>
        <v>106.85473761990842</v>
      </c>
      <c r="I19" s="74">
        <v>-182.09</v>
      </c>
    </row>
    <row r="20" spans="1:9" ht="12.75">
      <c r="A20" s="59" t="s">
        <v>7</v>
      </c>
      <c r="B20" s="62">
        <f>B21+B22+B23</f>
        <v>34616.2</v>
      </c>
      <c r="C20" s="62">
        <f>C21+C22+C23</f>
        <v>15612.05</v>
      </c>
      <c r="D20" s="62">
        <f>D21+D22+D23</f>
        <v>15310.310000000001</v>
      </c>
      <c r="E20" s="50">
        <f>$D:$D/$B:$B*100</f>
        <v>44.2287426118407</v>
      </c>
      <c r="F20" s="50">
        <f>$D:$D/$C:$C*100</f>
        <v>98.06726214686734</v>
      </c>
      <c r="G20" s="62">
        <f>G21+G22+G23</f>
        <v>15654.31</v>
      </c>
      <c r="H20" s="50">
        <f>$D:$D/$G:$G*100</f>
        <v>97.80252211691223</v>
      </c>
      <c r="I20" s="62">
        <f>I21+I22+I23</f>
        <v>1215.54</v>
      </c>
    </row>
    <row r="21" spans="1:9" ht="12.75">
      <c r="A21" s="56" t="s">
        <v>89</v>
      </c>
      <c r="B21" s="66">
        <v>32762</v>
      </c>
      <c r="C21" s="66">
        <v>14665.49</v>
      </c>
      <c r="D21" s="66">
        <v>14500.87</v>
      </c>
      <c r="E21" s="50">
        <f>$D:$D/$B:$B*100</f>
        <v>44.26124778707039</v>
      </c>
      <c r="F21" s="50">
        <f>$D:$D/$C:$C*100</f>
        <v>98.87750085404579</v>
      </c>
      <c r="G21" s="66">
        <v>14665.83</v>
      </c>
      <c r="H21" s="50">
        <f>$D:$D/$G:$G*100</f>
        <v>98.87520856303395</v>
      </c>
      <c r="I21" s="66">
        <v>776.63</v>
      </c>
    </row>
    <row r="22" spans="1:9" ht="15" customHeight="1">
      <c r="A22" s="56" t="s">
        <v>87</v>
      </c>
      <c r="B22" s="66">
        <v>895.2</v>
      </c>
      <c r="C22" s="66">
        <v>750</v>
      </c>
      <c r="D22" s="66">
        <v>552.66</v>
      </c>
      <c r="E22" s="50">
        <f>$D:$D/$B:$B*100</f>
        <v>61.73592493297586</v>
      </c>
      <c r="F22" s="50">
        <f>$D:$D/$C:$C*100</f>
        <v>73.688</v>
      </c>
      <c r="G22" s="66">
        <v>791.92</v>
      </c>
      <c r="H22" s="50">
        <f>$D:$D/$G:$G*100</f>
        <v>69.78735225780382</v>
      </c>
      <c r="I22" s="66">
        <v>427.49</v>
      </c>
    </row>
    <row r="23" spans="1:9" ht="28.5" customHeight="1">
      <c r="A23" s="56" t="s">
        <v>88</v>
      </c>
      <c r="B23" s="66">
        <v>959</v>
      </c>
      <c r="C23" s="66">
        <v>196.56</v>
      </c>
      <c r="D23" s="66">
        <v>256.78000000000003</v>
      </c>
      <c r="E23" s="50">
        <f>$D:$D/$B:$B*100</f>
        <v>26.775808133472367</v>
      </c>
      <c r="F23" s="50">
        <f>$D:$D/$C:$C*100</f>
        <v>130.63695563695566</v>
      </c>
      <c r="G23" s="66">
        <v>196.56</v>
      </c>
      <c r="H23" s="50">
        <f>$D:$D/$G:$G*100</f>
        <v>130.63695563695566</v>
      </c>
      <c r="I23" s="66">
        <v>11.42</v>
      </c>
    </row>
    <row r="24" spans="1:9" ht="15.75" customHeight="1">
      <c r="A24" s="59" t="s">
        <v>8</v>
      </c>
      <c r="B24" s="62">
        <f>SUM(B25:B26)</f>
        <v>36295.600000000006</v>
      </c>
      <c r="C24" s="62">
        <f>SUM(C25:C26)</f>
        <v>7002.26</v>
      </c>
      <c r="D24" s="62">
        <f>SUM(D25:D26)</f>
        <v>6411.37</v>
      </c>
      <c r="E24" s="50">
        <f>$D:$D/$B:$B*100</f>
        <v>17.664317437926357</v>
      </c>
      <c r="F24" s="50">
        <f>$D:$D/$C:$C*100</f>
        <v>91.56143873549397</v>
      </c>
      <c r="G24" s="62">
        <f>SUM(G25:G26)</f>
        <v>6713.71</v>
      </c>
      <c r="H24" s="50">
        <f>$D:$D/$G:$G*100</f>
        <v>95.49667769385333</v>
      </c>
      <c r="I24" s="62">
        <f>SUM(I25:I26)</f>
        <v>674.61</v>
      </c>
    </row>
    <row r="25" spans="1:9" ht="16.5" customHeight="1">
      <c r="A25" s="56" t="s">
        <v>106</v>
      </c>
      <c r="B25" s="66">
        <v>18923.7</v>
      </c>
      <c r="C25" s="66">
        <v>1900</v>
      </c>
      <c r="D25" s="66">
        <v>1890.08</v>
      </c>
      <c r="E25" s="50">
        <f>$D:$D/$B:$B*100</f>
        <v>9.987898772438793</v>
      </c>
      <c r="F25" s="50">
        <f>$D:$D/$C:$C*100</f>
        <v>99.4778947368421</v>
      </c>
      <c r="G25" s="66">
        <v>1611.45</v>
      </c>
      <c r="H25" s="50">
        <f>$D:$D/$G:$G*100</f>
        <v>117.29063886561792</v>
      </c>
      <c r="I25" s="66">
        <v>295.6</v>
      </c>
    </row>
    <row r="26" spans="1:9" ht="15.75" customHeight="1">
      <c r="A26" s="56" t="s">
        <v>107</v>
      </c>
      <c r="B26" s="66">
        <v>17371.9</v>
      </c>
      <c r="C26" s="66">
        <v>5102.26</v>
      </c>
      <c r="D26" s="66">
        <v>4521.29</v>
      </c>
      <c r="E26" s="50">
        <f>$D:$D/$B:$B*100</f>
        <v>26.02645651886092</v>
      </c>
      <c r="F26" s="50">
        <f>$D:$D/$C:$C*100</f>
        <v>88.61347716502098</v>
      </c>
      <c r="G26" s="66">
        <v>5102.26</v>
      </c>
      <c r="H26" s="50">
        <f>$D:$D/$G:$G*100</f>
        <v>88.61347716502098</v>
      </c>
      <c r="I26" s="66">
        <v>379.01</v>
      </c>
    </row>
    <row r="27" spans="1:9" ht="13.5" customHeight="1">
      <c r="A27" s="52" t="s">
        <v>9</v>
      </c>
      <c r="B27" s="62">
        <f>B28+B29+B30</f>
        <v>14814.9</v>
      </c>
      <c r="C27" s="62">
        <f>C28+C29+C30</f>
        <v>4844.2</v>
      </c>
      <c r="D27" s="62">
        <f>D28+D29+D30</f>
        <v>5109.990000000001</v>
      </c>
      <c r="E27" s="50">
        <f>$D:$D/$B:$B*100</f>
        <v>34.49223416965353</v>
      </c>
      <c r="F27" s="50">
        <f>$D:$D/$C:$C*100</f>
        <v>105.48676768093806</v>
      </c>
      <c r="G27" s="62">
        <f>G28+G29+G30</f>
        <v>5753.68</v>
      </c>
      <c r="H27" s="50">
        <f>$D:$D/$G:$G*100</f>
        <v>88.81255127153406</v>
      </c>
      <c r="I27" s="62">
        <f>I28+I29+I30</f>
        <v>857.5</v>
      </c>
    </row>
    <row r="28" spans="1:9" ht="25.5">
      <c r="A28" s="56" t="s">
        <v>10</v>
      </c>
      <c r="B28" s="66">
        <v>14680.1</v>
      </c>
      <c r="C28" s="66">
        <v>4800</v>
      </c>
      <c r="D28" s="66">
        <v>5072.39</v>
      </c>
      <c r="E28" s="50">
        <f>$D:$D/$B:$B*100</f>
        <v>34.55283002159386</v>
      </c>
      <c r="F28" s="50">
        <f>$D:$D/$C:$C*100</f>
        <v>105.67479166666666</v>
      </c>
      <c r="G28" s="66">
        <v>5722.68</v>
      </c>
      <c r="H28" s="50">
        <f>$D:$D/$G:$G*100</f>
        <v>88.6366178084394</v>
      </c>
      <c r="I28" s="66">
        <v>852.7</v>
      </c>
    </row>
    <row r="29" spans="1:9" ht="18.75" customHeight="1">
      <c r="A29" s="56" t="s">
        <v>91</v>
      </c>
      <c r="B29" s="66">
        <v>84.8</v>
      </c>
      <c r="C29" s="66">
        <v>29.2</v>
      </c>
      <c r="D29" s="66">
        <v>17.6</v>
      </c>
      <c r="E29" s="50">
        <f>$D:$D/$B:$B*100</f>
        <v>20.75471698113208</v>
      </c>
      <c r="F29" s="50">
        <f>$D:$D/$C:$C*100</f>
        <v>60.27397260273973</v>
      </c>
      <c r="G29" s="66">
        <v>16</v>
      </c>
      <c r="H29" s="50" t="s">
        <v>111</v>
      </c>
      <c r="I29" s="66">
        <v>4.8</v>
      </c>
    </row>
    <row r="30" spans="1:9" ht="26.25" customHeight="1">
      <c r="A30" s="56" t="s">
        <v>90</v>
      </c>
      <c r="B30" s="66">
        <v>50</v>
      </c>
      <c r="C30" s="66">
        <v>15</v>
      </c>
      <c r="D30" s="66">
        <v>20</v>
      </c>
      <c r="E30" s="50">
        <f>$D:$D/$B:$B*100</f>
        <v>40</v>
      </c>
      <c r="F30" s="50" t="s">
        <v>111</v>
      </c>
      <c r="G30" s="66">
        <v>15</v>
      </c>
      <c r="H30" s="50" t="s">
        <v>111</v>
      </c>
      <c r="I30" s="66">
        <v>0</v>
      </c>
    </row>
    <row r="31" spans="1:9" ht="15.75" customHeight="1">
      <c r="A31" s="59" t="s">
        <v>11</v>
      </c>
      <c r="B31" s="62">
        <f>B32+B33</f>
        <v>0</v>
      </c>
      <c r="C31" s="62">
        <f>C32+C33</f>
        <v>0</v>
      </c>
      <c r="D31" s="62">
        <f>D32+D33</f>
        <v>0.07</v>
      </c>
      <c r="E31" s="50" t="s">
        <v>111</v>
      </c>
      <c r="F31" s="50" t="s">
        <v>111</v>
      </c>
      <c r="G31" s="62">
        <f>G32+G33</f>
        <v>0.17</v>
      </c>
      <c r="H31" s="50" t="s">
        <v>111</v>
      </c>
      <c r="I31" s="62">
        <f>I32+I33</f>
        <v>0</v>
      </c>
    </row>
    <row r="32" spans="1:9" ht="25.5">
      <c r="A32" s="56" t="s">
        <v>116</v>
      </c>
      <c r="B32" s="66">
        <v>0</v>
      </c>
      <c r="C32" s="66">
        <v>0</v>
      </c>
      <c r="D32" s="66">
        <v>0</v>
      </c>
      <c r="E32" s="50" t="s">
        <v>111</v>
      </c>
      <c r="F32" s="50" t="s">
        <v>111</v>
      </c>
      <c r="G32" s="66">
        <v>0</v>
      </c>
      <c r="H32" s="50" t="s">
        <v>111</v>
      </c>
      <c r="I32" s="66">
        <v>0</v>
      </c>
    </row>
    <row r="33" spans="1:9" ht="25.5">
      <c r="A33" s="56" t="s">
        <v>92</v>
      </c>
      <c r="B33" s="66">
        <v>0</v>
      </c>
      <c r="C33" s="66">
        <v>0</v>
      </c>
      <c r="D33" s="66">
        <v>0.07</v>
      </c>
      <c r="E33" s="50" t="s">
        <v>111</v>
      </c>
      <c r="F33" s="50" t="s">
        <v>111</v>
      </c>
      <c r="G33" s="66">
        <v>0.17</v>
      </c>
      <c r="H33" s="50" t="s">
        <v>111</v>
      </c>
      <c r="I33" s="66">
        <v>0</v>
      </c>
    </row>
    <row r="34" spans="1:9" ht="38.25">
      <c r="A34" s="59" t="s">
        <v>12</v>
      </c>
      <c r="B34" s="62">
        <f>B35+B37+B38+B39+B41+B42+B36</f>
        <v>50872.7</v>
      </c>
      <c r="C34" s="64">
        <f>SUM(C35:C42)</f>
        <v>19138.39</v>
      </c>
      <c r="D34" s="64">
        <f>SUM(D35:D42)</f>
        <v>15677.65</v>
      </c>
      <c r="E34" s="50">
        <f>$D:$D/$B:$B*100</f>
        <v>30.817412875668087</v>
      </c>
      <c r="F34" s="50">
        <f>$D:$D/$C:$C*100</f>
        <v>81.9172877133343</v>
      </c>
      <c r="G34" s="64">
        <f>SUM(G35:G42)</f>
        <v>16642.579999999998</v>
      </c>
      <c r="H34" s="50">
        <f>$D:$D/$G:$G*100</f>
        <v>94.20204078934877</v>
      </c>
      <c r="I34" s="64">
        <f>SUM(I35:I42)</f>
        <v>1873.43</v>
      </c>
    </row>
    <row r="35" spans="1:9" ht="76.5" hidden="1">
      <c r="A35" s="56" t="s">
        <v>114</v>
      </c>
      <c r="B35" s="66"/>
      <c r="C35" s="66"/>
      <c r="D35" s="66"/>
      <c r="E35" s="50" t="s">
        <v>112</v>
      </c>
      <c r="F35" s="50" t="e">
        <f>$D:$D/$C:$C*100</f>
        <v>#DIV/0!</v>
      </c>
      <c r="G35" s="66"/>
      <c r="H35" s="50" t="e">
        <f>$D:$D/$G:$G*100</f>
        <v>#DIV/0!</v>
      </c>
      <c r="I35" s="66"/>
    </row>
    <row r="36" spans="1:9" ht="76.5">
      <c r="A36" s="56" t="s">
        <v>117</v>
      </c>
      <c r="B36" s="66">
        <v>26368</v>
      </c>
      <c r="C36" s="66">
        <v>8500</v>
      </c>
      <c r="D36" s="66">
        <v>8460.16</v>
      </c>
      <c r="E36" s="50">
        <f>$D:$D/$B:$B*100</f>
        <v>32.08495145631068</v>
      </c>
      <c r="F36" s="50">
        <f>$D:$D/$C:$C*100</f>
        <v>99.53129411764706</v>
      </c>
      <c r="G36" s="66">
        <v>8491.4</v>
      </c>
      <c r="H36" s="50">
        <f>$D:$D/$G:$G*100</f>
        <v>99.63209835833902</v>
      </c>
      <c r="I36" s="66">
        <v>895.23</v>
      </c>
    </row>
    <row r="37" spans="1:9" ht="76.5">
      <c r="A37" s="56" t="s">
        <v>125</v>
      </c>
      <c r="B37" s="66">
        <v>628</v>
      </c>
      <c r="C37" s="66">
        <v>261.49</v>
      </c>
      <c r="D37" s="66">
        <v>379.84</v>
      </c>
      <c r="E37" s="50">
        <f>$D:$D/$B:$B*100</f>
        <v>60.48407643312102</v>
      </c>
      <c r="F37" s="50">
        <f>$D:$D/$C:$C*100</f>
        <v>145.25985697349802</v>
      </c>
      <c r="G37" s="66">
        <v>0.14</v>
      </c>
      <c r="H37" s="50" t="s">
        <v>111</v>
      </c>
      <c r="I37" s="66">
        <v>77.81</v>
      </c>
    </row>
    <row r="38" spans="1:9" ht="76.5">
      <c r="A38" s="56" t="s">
        <v>118</v>
      </c>
      <c r="B38" s="66">
        <v>530.18</v>
      </c>
      <c r="C38" s="66">
        <v>220.9</v>
      </c>
      <c r="D38" s="66">
        <v>118.88999999999999</v>
      </c>
      <c r="E38" s="50">
        <f>$D:$D/$B:$B*100</f>
        <v>22.4244596174884</v>
      </c>
      <c r="F38" s="50">
        <f>$D:$D/$C:$C*100</f>
        <v>53.82073336351289</v>
      </c>
      <c r="G38" s="66">
        <v>124.07</v>
      </c>
      <c r="H38" s="50">
        <f>$D:$D/$G:$G*100</f>
        <v>95.82493753526235</v>
      </c>
      <c r="I38" s="66">
        <v>27.13</v>
      </c>
    </row>
    <row r="39" spans="1:9" ht="38.25">
      <c r="A39" s="56" t="s">
        <v>119</v>
      </c>
      <c r="B39" s="66">
        <v>19213.07</v>
      </c>
      <c r="C39" s="66">
        <v>8000</v>
      </c>
      <c r="D39" s="66">
        <v>4693.74</v>
      </c>
      <c r="E39" s="50">
        <f>$D:$D/$B:$B*100</f>
        <v>24.42993233252156</v>
      </c>
      <c r="F39" s="50">
        <f>$D:$D/$C:$C*100</f>
        <v>58.67175</v>
      </c>
      <c r="G39" s="66">
        <v>6230.32</v>
      </c>
      <c r="H39" s="50">
        <f>$D:$D/$G:$G*100</f>
        <v>75.33706133874344</v>
      </c>
      <c r="I39" s="66">
        <v>381.77</v>
      </c>
    </row>
    <row r="40" spans="1:9" ht="51">
      <c r="A40" s="56" t="s">
        <v>138</v>
      </c>
      <c r="B40" s="66"/>
      <c r="C40" s="66">
        <v>0</v>
      </c>
      <c r="D40" s="66">
        <v>7.01</v>
      </c>
      <c r="E40" s="50"/>
      <c r="F40" s="50" t="e">
        <f>$D:$D/$C:$C*100</f>
        <v>#DIV/0!</v>
      </c>
      <c r="G40" s="66"/>
      <c r="H40" s="50"/>
      <c r="I40" s="66">
        <v>0</v>
      </c>
    </row>
    <row r="41" spans="1:9" ht="51">
      <c r="A41" s="56" t="s">
        <v>120</v>
      </c>
      <c r="B41" s="66">
        <v>691</v>
      </c>
      <c r="C41" s="66">
        <v>691</v>
      </c>
      <c r="D41" s="66">
        <v>445.23</v>
      </c>
      <c r="E41" s="50">
        <f>$D:$D/$B:$B*100</f>
        <v>64.4327062228654</v>
      </c>
      <c r="F41" s="50" t="s">
        <v>111</v>
      </c>
      <c r="G41" s="66">
        <v>690.92</v>
      </c>
      <c r="H41" s="50" t="s">
        <v>111</v>
      </c>
      <c r="I41" s="66">
        <v>341.58</v>
      </c>
    </row>
    <row r="42" spans="1:9" ht="76.5">
      <c r="A42" s="60" t="s">
        <v>121</v>
      </c>
      <c r="B42" s="66">
        <v>3442.45</v>
      </c>
      <c r="C42" s="66">
        <v>1465</v>
      </c>
      <c r="D42" s="66">
        <v>1572.78</v>
      </c>
      <c r="E42" s="50">
        <f>$D:$D/$B:$B*100</f>
        <v>45.687809554241895</v>
      </c>
      <c r="F42" s="50">
        <f>$D:$D/$C:$C*100</f>
        <v>107.35699658703071</v>
      </c>
      <c r="G42" s="66">
        <v>1105.73</v>
      </c>
      <c r="H42" s="50">
        <f>$D:$D/$G:$G*100</f>
        <v>142.23906378591516</v>
      </c>
      <c r="I42" s="66">
        <v>149.91</v>
      </c>
    </row>
    <row r="43" spans="1:9" ht="29.25" customHeight="1">
      <c r="A43" s="53" t="s">
        <v>13</v>
      </c>
      <c r="B43" s="61">
        <v>515</v>
      </c>
      <c r="C43" s="61">
        <v>342.01</v>
      </c>
      <c r="D43" s="61">
        <v>160.64</v>
      </c>
      <c r="E43" s="50">
        <f>$D:$D/$B:$B*100</f>
        <v>31.192233009708737</v>
      </c>
      <c r="F43" s="50">
        <f>$D:$D/$C:$C*100</f>
        <v>46.96938686003333</v>
      </c>
      <c r="G43" s="61">
        <v>312.04</v>
      </c>
      <c r="H43" s="50">
        <f>$D:$D/$G:$G*100</f>
        <v>51.48057941289578</v>
      </c>
      <c r="I43" s="61">
        <v>-4.66</v>
      </c>
    </row>
    <row r="44" spans="1:9" ht="27" customHeight="1">
      <c r="A44" s="53" t="s">
        <v>96</v>
      </c>
      <c r="B44" s="61">
        <v>1829.19</v>
      </c>
      <c r="C44" s="61">
        <v>714.95</v>
      </c>
      <c r="D44" s="61">
        <v>1413.82</v>
      </c>
      <c r="E44" s="50">
        <f>$D:$D/$B:$B*100</f>
        <v>77.29213477003482</v>
      </c>
      <c r="F44" s="50">
        <f>$D:$D/$C:$C*100</f>
        <v>197.75089167074617</v>
      </c>
      <c r="G44" s="61">
        <v>1138.91</v>
      </c>
      <c r="H44" s="50">
        <f>$D:$D/$G:$G*100</f>
        <v>124.13799158844859</v>
      </c>
      <c r="I44" s="61">
        <v>123.99</v>
      </c>
    </row>
    <row r="45" spans="1:9" ht="25.5">
      <c r="A45" s="59" t="s">
        <v>14</v>
      </c>
      <c r="B45" s="62">
        <f>B46+B47+B48</f>
        <v>1497.5</v>
      </c>
      <c r="C45" s="62">
        <f>C46+C47+C48</f>
        <v>501</v>
      </c>
      <c r="D45" s="62">
        <f>D46+D47+D48</f>
        <v>1349.99</v>
      </c>
      <c r="E45" s="50">
        <f>$D:$D/$B:$B*100</f>
        <v>90.14958263772955</v>
      </c>
      <c r="F45" s="50">
        <f>$D:$D/$C:$C*100</f>
        <v>269.45908183632736</v>
      </c>
      <c r="G45" s="62">
        <f>G46+G47+G48</f>
        <v>1097.99</v>
      </c>
      <c r="H45" s="50">
        <f>$D:$D/$G:$G*100</f>
        <v>122.95102869789343</v>
      </c>
      <c r="I45" s="62">
        <f>I46+I47+I48</f>
        <v>588.46</v>
      </c>
    </row>
    <row r="46" spans="1:9" ht="12.75">
      <c r="A46" s="56" t="s">
        <v>94</v>
      </c>
      <c r="B46" s="66">
        <v>0</v>
      </c>
      <c r="C46" s="66">
        <v>0</v>
      </c>
      <c r="D46" s="66">
        <v>413.05</v>
      </c>
      <c r="E46" s="50" t="s">
        <v>111</v>
      </c>
      <c r="F46" s="50" t="s">
        <v>111</v>
      </c>
      <c r="G46" s="66">
        <v>0</v>
      </c>
      <c r="H46" s="50" t="s">
        <v>111</v>
      </c>
      <c r="I46" s="66">
        <v>413.05</v>
      </c>
    </row>
    <row r="47" spans="1:9" ht="76.5">
      <c r="A47" s="56" t="s">
        <v>95</v>
      </c>
      <c r="B47" s="66">
        <v>97.5</v>
      </c>
      <c r="C47" s="66">
        <v>61</v>
      </c>
      <c r="D47" s="66">
        <v>98.3</v>
      </c>
      <c r="E47" s="50" t="s">
        <v>112</v>
      </c>
      <c r="F47" s="50">
        <f>$D:$D/$C:$C*100</f>
        <v>161.14754098360655</v>
      </c>
      <c r="G47" s="66">
        <v>62.82</v>
      </c>
      <c r="H47" s="50">
        <f>$D:$D/$G:$G*100</f>
        <v>156.47882839859918</v>
      </c>
      <c r="I47" s="66">
        <v>24.38</v>
      </c>
    </row>
    <row r="48" spans="1:9" ht="12.75">
      <c r="A48" s="60" t="s">
        <v>93</v>
      </c>
      <c r="B48" s="66">
        <v>1400</v>
      </c>
      <c r="C48" s="66">
        <v>440</v>
      </c>
      <c r="D48" s="66">
        <v>838.64</v>
      </c>
      <c r="E48" s="50">
        <f>$D:$D/$B:$B*100</f>
        <v>59.902857142857144</v>
      </c>
      <c r="F48" s="50">
        <f>$D:$D/$C:$C*100</f>
        <v>190.6</v>
      </c>
      <c r="G48" s="66">
        <v>1035.17</v>
      </c>
      <c r="H48" s="50">
        <f>$D:$D/$G:$G*100</f>
        <v>81.01471255928978</v>
      </c>
      <c r="I48" s="66">
        <v>151.03</v>
      </c>
    </row>
    <row r="49" spans="1:9" ht="12.75">
      <c r="A49" s="53" t="s">
        <v>15</v>
      </c>
      <c r="B49" s="62">
        <v>1972.8</v>
      </c>
      <c r="C49" s="62">
        <v>1290.26</v>
      </c>
      <c r="D49" s="62">
        <v>1292.48</v>
      </c>
      <c r="E49" s="50">
        <f>$D:$D/$B:$B*100</f>
        <v>65.51500405515004</v>
      </c>
      <c r="F49" s="50">
        <f>$D:$D/$C:$C*100</f>
        <v>100.17205834482972</v>
      </c>
      <c r="G49" s="62">
        <v>5107.55</v>
      </c>
      <c r="H49" s="50">
        <f>$D:$D/$G:$G*100</f>
        <v>25.305283355033236</v>
      </c>
      <c r="I49" s="62">
        <v>71.26</v>
      </c>
    </row>
    <row r="50" spans="1:9" ht="63.75" hidden="1">
      <c r="A50" s="56" t="s">
        <v>126</v>
      </c>
      <c r="B50" s="66"/>
      <c r="C50" s="66"/>
      <c r="D50" s="66"/>
      <c r="E50" s="50" t="e">
        <f>$D:$D/$B:$B*100</f>
        <v>#DIV/0!</v>
      </c>
      <c r="F50" s="50" t="e">
        <f>$D:$D/$C:$C*100</f>
        <v>#DIV/0!</v>
      </c>
      <c r="G50" s="66"/>
      <c r="H50" s="50" t="e">
        <f>$D:$D/$G:$G*100</f>
        <v>#DIV/0!</v>
      </c>
      <c r="I50" s="66"/>
    </row>
    <row r="51" spans="1:9" ht="89.25" hidden="1">
      <c r="A51" s="56" t="s">
        <v>127</v>
      </c>
      <c r="B51" s="66"/>
      <c r="C51" s="66"/>
      <c r="D51" s="66"/>
      <c r="E51" s="50" t="e">
        <f>$D:$D/$B:$B*100</f>
        <v>#DIV/0!</v>
      </c>
      <c r="F51" s="50" t="e">
        <f>$D:$D/$C:$C*100</f>
        <v>#DIV/0!</v>
      </c>
      <c r="G51" s="66"/>
      <c r="H51" s="50" t="e">
        <f>$D:$D/$G:$G*100</f>
        <v>#DIV/0!</v>
      </c>
      <c r="I51" s="66"/>
    </row>
    <row r="52" spans="1:9" ht="14.25" customHeight="1" hidden="1">
      <c r="A52" s="56" t="s">
        <v>128</v>
      </c>
      <c r="B52" s="66"/>
      <c r="C52" s="66"/>
      <c r="D52" s="66"/>
      <c r="E52" s="50" t="e">
        <f>$D:$D/$B:$B*100</f>
        <v>#DIV/0!</v>
      </c>
      <c r="F52" s="50" t="e">
        <f>$D:$D/$C:$C*100</f>
        <v>#DIV/0!</v>
      </c>
      <c r="G52" s="66"/>
      <c r="H52" s="50" t="e">
        <f>$D:$D/$G:$G*100</f>
        <v>#DIV/0!</v>
      </c>
      <c r="I52" s="66"/>
    </row>
    <row r="53" spans="1:9" ht="63.75" hidden="1">
      <c r="A53" s="56" t="s">
        <v>129</v>
      </c>
      <c r="B53" s="66"/>
      <c r="C53" s="66"/>
      <c r="D53" s="66"/>
      <c r="E53" s="50" t="e">
        <f>$D:$D/$B:$B*100</f>
        <v>#DIV/0!</v>
      </c>
      <c r="F53" s="50" t="e">
        <f>$D:$D/$C:$C*100</f>
        <v>#DIV/0!</v>
      </c>
      <c r="G53" s="66"/>
      <c r="H53" s="50" t="s">
        <v>112</v>
      </c>
      <c r="I53" s="66"/>
    </row>
    <row r="54" spans="1:9" ht="63.75" hidden="1">
      <c r="A54" s="56" t="s">
        <v>130</v>
      </c>
      <c r="B54" s="66"/>
      <c r="C54" s="66"/>
      <c r="D54" s="66"/>
      <c r="E54" s="50" t="s">
        <v>112</v>
      </c>
      <c r="F54" s="50" t="e">
        <f>$D:$D/$C:$C*100</f>
        <v>#DIV/0!</v>
      </c>
      <c r="G54" s="66"/>
      <c r="H54" s="50" t="e">
        <f>$D:$D/$G:$G*100</f>
        <v>#DIV/0!</v>
      </c>
      <c r="I54" s="66"/>
    </row>
    <row r="55" spans="1:9" ht="63.75" hidden="1">
      <c r="A55" s="56" t="s">
        <v>131</v>
      </c>
      <c r="B55" s="66"/>
      <c r="C55" s="66"/>
      <c r="D55" s="66"/>
      <c r="E55" s="50" t="e">
        <f>$D:$D/$B:$B*100</f>
        <v>#DIV/0!</v>
      </c>
      <c r="F55" s="50" t="e">
        <f>$D:$D/$C:$C*100</f>
        <v>#DIV/0!</v>
      </c>
      <c r="G55" s="66"/>
      <c r="H55" s="50" t="e">
        <f>$D:$D/$G:$G*100</f>
        <v>#DIV/0!</v>
      </c>
      <c r="I55" s="66"/>
    </row>
    <row r="56" spans="1:9" ht="76.5" hidden="1">
      <c r="A56" s="56" t="s">
        <v>132</v>
      </c>
      <c r="B56" s="66"/>
      <c r="C56" s="66"/>
      <c r="D56" s="66"/>
      <c r="E56" s="50" t="e">
        <f>$D:$D/$B:$B*100</f>
        <v>#DIV/0!</v>
      </c>
      <c r="F56" s="50" t="e">
        <f>$D:$D/$C:$C*100</f>
        <v>#DIV/0!</v>
      </c>
      <c r="G56" s="66"/>
      <c r="H56" s="50" t="e">
        <f>$D:$D/$G:$G*100</f>
        <v>#DIV/0!</v>
      </c>
      <c r="I56" s="66"/>
    </row>
    <row r="57" spans="1:9" ht="52.5" customHeight="1" hidden="1">
      <c r="A57" s="56" t="s">
        <v>133</v>
      </c>
      <c r="B57" s="66"/>
      <c r="C57" s="66"/>
      <c r="D57" s="66"/>
      <c r="E57" s="50" t="e">
        <f>$D:$D/$B:$B*100</f>
        <v>#DIV/0!</v>
      </c>
      <c r="F57" s="50" t="e">
        <f>$D:$D/$C:$C*100</f>
        <v>#DIV/0!</v>
      </c>
      <c r="G57" s="66"/>
      <c r="H57" s="50" t="e">
        <f>$D:$D/$G:$G*100</f>
        <v>#DIV/0!</v>
      </c>
      <c r="I57" s="66"/>
    </row>
    <row r="58" spans="1:9" ht="76.5" hidden="1">
      <c r="A58" s="56" t="s">
        <v>134</v>
      </c>
      <c r="B58" s="66"/>
      <c r="C58" s="66"/>
      <c r="D58" s="66"/>
      <c r="E58" s="50" t="s">
        <v>111</v>
      </c>
      <c r="F58" s="50" t="e">
        <f>$D:$D/$C:$C*100</f>
        <v>#DIV/0!</v>
      </c>
      <c r="G58" s="66"/>
      <c r="H58" s="50" t="s">
        <v>111</v>
      </c>
      <c r="I58" s="66"/>
    </row>
    <row r="59" spans="1:9" ht="12.75" hidden="1">
      <c r="A59" s="56" t="s">
        <v>135</v>
      </c>
      <c r="B59" s="66"/>
      <c r="C59" s="66"/>
      <c r="D59" s="66"/>
      <c r="E59" s="50" t="e">
        <f>$D:$D/$B:$B*100</f>
        <v>#DIV/0!</v>
      </c>
      <c r="F59" s="50" t="e">
        <f>$D:$D/$C:$C*100</f>
        <v>#DIV/0!</v>
      </c>
      <c r="G59" s="66"/>
      <c r="H59" s="50" t="s">
        <v>112</v>
      </c>
      <c r="I59" s="66"/>
    </row>
    <row r="60" spans="1:9" ht="12.75">
      <c r="A60" s="52" t="s">
        <v>16</v>
      </c>
      <c r="B60" s="61">
        <v>160.35</v>
      </c>
      <c r="C60" s="61">
        <v>40</v>
      </c>
      <c r="D60" s="61">
        <v>-54.19</v>
      </c>
      <c r="E60" s="50">
        <f>$D:$D/$B:$B*100</f>
        <v>-33.79482382288743</v>
      </c>
      <c r="F60" s="50" t="s">
        <v>111</v>
      </c>
      <c r="G60" s="61">
        <v>53.24</v>
      </c>
      <c r="H60" s="50">
        <f>$D:$D/$G:$G*100</f>
        <v>-101.78437265214124</v>
      </c>
      <c r="I60" s="61">
        <v>14.58</v>
      </c>
    </row>
    <row r="61" spans="1:9" ht="12.75">
      <c r="A61" s="59" t="s">
        <v>17</v>
      </c>
      <c r="B61" s="62">
        <f>B8+B15+B20+B24+B27+B31+B34+B43+B44+B45+B60+B49</f>
        <v>442319.4799999999</v>
      </c>
      <c r="C61" s="62">
        <f>C8+C15+C20+C24+C27+C31+C34+C43+C44+C45+C60+C49</f>
        <v>155600.58000000002</v>
      </c>
      <c r="D61" s="62">
        <f>D8+D15+D20+D24+D27+D31+D34+D43+D44+D45+D60+D49</f>
        <v>154661.89</v>
      </c>
      <c r="E61" s="50">
        <f>$D:$D/$B:$B*100</f>
        <v>34.96610413812207</v>
      </c>
      <c r="F61" s="50">
        <f>$D:$D/$C:$C*100</f>
        <v>99.39673104046271</v>
      </c>
      <c r="G61" s="62">
        <f>G8+G15+G20+G24+G27+G31+G34+G43+G44+G45+G60+G49</f>
        <v>155699.99999999997</v>
      </c>
      <c r="H61" s="50">
        <f>$D:$D/$G:$G*100</f>
        <v>99.33326268465</v>
      </c>
      <c r="I61" s="62">
        <f>I8+I15+I20+I24+I27+I31+I34+I43+I44+I45+I60+I49</f>
        <v>24373.72</v>
      </c>
    </row>
    <row r="62" spans="1:9" ht="16.5" customHeight="1">
      <c r="A62" s="59" t="s">
        <v>18</v>
      </c>
      <c r="B62" s="62">
        <f>B63+B69+B68</f>
        <v>1996762.33</v>
      </c>
      <c r="C62" s="62">
        <f>C63+C69+C68</f>
        <v>604314.6300000001</v>
      </c>
      <c r="D62" s="62">
        <f>D63+D69+D68</f>
        <v>603906.0399999999</v>
      </c>
      <c r="E62" s="50">
        <f>$D:$D/$B:$B*100</f>
        <v>30.244262470636645</v>
      </c>
      <c r="F62" s="50">
        <f>$D:$D/$C:$C*100</f>
        <v>99.93238786888212</v>
      </c>
      <c r="G62" s="62">
        <f>G63+G69+G68</f>
        <v>578108.01</v>
      </c>
      <c r="H62" s="50">
        <f>$D:$D/$G:$G*100</f>
        <v>104.4624930901753</v>
      </c>
      <c r="I62" s="62">
        <f>I63+I69+I68</f>
        <v>143715.47999999998</v>
      </c>
    </row>
    <row r="63" spans="1:9" ht="25.5" customHeight="1">
      <c r="A63" s="59" t="s">
        <v>19</v>
      </c>
      <c r="B63" s="62">
        <f>B64+B65+B67+B66</f>
        <v>1999031.53</v>
      </c>
      <c r="C63" s="62">
        <f>C64+C65+C67+C66</f>
        <v>606583.8300000001</v>
      </c>
      <c r="D63" s="62">
        <f>D64+D65+D67+D66</f>
        <v>606583.85</v>
      </c>
      <c r="E63" s="50">
        <f>$D:$D/$B:$B*100</f>
        <v>30.343886071671918</v>
      </c>
      <c r="F63" s="50">
        <f>$D:$D/$C:$C*100</f>
        <v>100.00000329715348</v>
      </c>
      <c r="G63" s="62">
        <f>G64+G65+G67+G66</f>
        <v>578975.09</v>
      </c>
      <c r="H63" s="50">
        <f>$D:$D/$G:$G*100</f>
        <v>104.7685574866442</v>
      </c>
      <c r="I63" s="62">
        <f>I64+I65+I67+I66</f>
        <v>143721.09999999998</v>
      </c>
    </row>
    <row r="64" spans="1:9" ht="13.5" customHeight="1">
      <c r="A64" s="56" t="s">
        <v>108</v>
      </c>
      <c r="B64" s="66">
        <v>473017.9</v>
      </c>
      <c r="C64" s="66">
        <v>188527.6</v>
      </c>
      <c r="D64" s="66">
        <v>188527.6</v>
      </c>
      <c r="E64" s="50">
        <f>$D:$D/$B:$B*100</f>
        <v>39.8563352465097</v>
      </c>
      <c r="F64" s="50">
        <f>$D:$D/$C:$C*100</f>
        <v>100</v>
      </c>
      <c r="G64" s="66">
        <v>163738.28</v>
      </c>
      <c r="H64" s="50">
        <f>$D:$D/$G:$G*100</f>
        <v>115.13959960981634</v>
      </c>
      <c r="I64" s="66">
        <v>26293.6</v>
      </c>
    </row>
    <row r="65" spans="1:9" ht="13.5" customHeight="1">
      <c r="A65" s="56" t="s">
        <v>109</v>
      </c>
      <c r="B65" s="66">
        <v>495378.37</v>
      </c>
      <c r="C65" s="66">
        <v>29735.61</v>
      </c>
      <c r="D65" s="66">
        <v>29735.620000000003</v>
      </c>
      <c r="E65" s="50">
        <f>$D:$D/$B:$B*100</f>
        <v>6.002607663309966</v>
      </c>
      <c r="F65" s="50">
        <f>$D:$D/$C:$C*100</f>
        <v>100.000033629712</v>
      </c>
      <c r="G65" s="66">
        <v>48973.2</v>
      </c>
      <c r="H65" s="50">
        <f>$D:$D/$G:$G*100</f>
        <v>60.71814788496567</v>
      </c>
      <c r="I65" s="66">
        <v>9070.65</v>
      </c>
    </row>
    <row r="66" spans="1:9" ht="13.5" customHeight="1">
      <c r="A66" s="56" t="s">
        <v>110</v>
      </c>
      <c r="B66" s="66">
        <v>1010703.86</v>
      </c>
      <c r="C66" s="66">
        <v>385369.01</v>
      </c>
      <c r="D66" s="66">
        <v>385369.02</v>
      </c>
      <c r="E66" s="50">
        <f>$D:$D/$B:$B*100</f>
        <v>38.128776909984296</v>
      </c>
      <c r="F66" s="50">
        <f>$D:$D/$C:$C*100</f>
        <v>100.00000259491546</v>
      </c>
      <c r="G66" s="66">
        <v>364679.03</v>
      </c>
      <c r="H66" s="50">
        <f>$D:$D/$G:$G*100</f>
        <v>105.67347949784774</v>
      </c>
      <c r="I66" s="66">
        <v>105610.9</v>
      </c>
    </row>
    <row r="67" spans="1:9" ht="12.75">
      <c r="A67" s="2" t="s">
        <v>122</v>
      </c>
      <c r="B67" s="66">
        <v>19931.399999999998</v>
      </c>
      <c r="C67" s="66">
        <v>2951.6099999999997</v>
      </c>
      <c r="D67" s="66">
        <v>2951.6099999999997</v>
      </c>
      <c r="E67" s="50">
        <f>$D:$D/$B:$B*100</f>
        <v>14.80884433607273</v>
      </c>
      <c r="F67" s="50" t="s">
        <v>111</v>
      </c>
      <c r="G67" s="66">
        <v>1584.58</v>
      </c>
      <c r="H67" s="50" t="s">
        <v>111</v>
      </c>
      <c r="I67" s="66">
        <v>2745.95</v>
      </c>
    </row>
    <row r="68" spans="1:9" ht="12.75">
      <c r="A68" s="59" t="s">
        <v>113</v>
      </c>
      <c r="B68" s="66"/>
      <c r="C68" s="66"/>
      <c r="D68" s="66"/>
      <c r="E68" s="50" t="s">
        <v>112</v>
      </c>
      <c r="F68" s="50" t="s">
        <v>111</v>
      </c>
      <c r="G68" s="66">
        <v>0</v>
      </c>
      <c r="H68" s="50" t="s">
        <v>112</v>
      </c>
      <c r="I68" s="66"/>
    </row>
    <row r="69" spans="1:9" ht="25.5">
      <c r="A69" s="59" t="s">
        <v>21</v>
      </c>
      <c r="B69" s="61">
        <v>-2269.2</v>
      </c>
      <c r="C69" s="61">
        <v>-2269.2</v>
      </c>
      <c r="D69" s="61">
        <v>-2677.8099999999995</v>
      </c>
      <c r="E69" s="50" t="s">
        <v>112</v>
      </c>
      <c r="F69" s="50" t="s">
        <v>111</v>
      </c>
      <c r="G69" s="61">
        <v>-867.08</v>
      </c>
      <c r="H69" s="50">
        <f>$D:$D/$G:$G*100</f>
        <v>308.83078839322775</v>
      </c>
      <c r="I69" s="61">
        <v>-5.62</v>
      </c>
    </row>
    <row r="70" spans="1:9" ht="17.25" customHeight="1" hidden="1">
      <c r="A70" s="52" t="s">
        <v>20</v>
      </c>
      <c r="B70" s="62">
        <f>B62+B61</f>
        <v>2439081.81</v>
      </c>
      <c r="C70" s="62">
        <f>C62+C61</f>
        <v>759915.2100000002</v>
      </c>
      <c r="D70" s="62">
        <f>D62+D61</f>
        <v>758567.9299999999</v>
      </c>
      <c r="E70" s="50">
        <f>$D:$D/$B:$B*100</f>
        <v>31.10055295767221</v>
      </c>
      <c r="F70" s="50">
        <f>$D:$D/$C:$C*100</f>
        <v>99.82270653590415</v>
      </c>
      <c r="G70" s="62">
        <f>G62+G61</f>
        <v>733808.01</v>
      </c>
      <c r="H70" s="50">
        <f>$D:$D/$G:$G*100</f>
        <v>103.3741686739015</v>
      </c>
      <c r="I70" s="62">
        <f>I62+I61</f>
        <v>168089.19999999998</v>
      </c>
    </row>
    <row r="71" spans="1:9" ht="12.75">
      <c r="A71" s="52" t="s">
        <v>20</v>
      </c>
      <c r="B71" s="35">
        <f>B70</f>
        <v>2439081.81</v>
      </c>
      <c r="C71" s="35">
        <f aca="true" t="shared" si="0" ref="C71:I71">C70</f>
        <v>759915.2100000002</v>
      </c>
      <c r="D71" s="35">
        <f t="shared" si="0"/>
        <v>758567.9299999999</v>
      </c>
      <c r="E71" s="35">
        <f t="shared" si="0"/>
        <v>31.10055295767221</v>
      </c>
      <c r="F71" s="35">
        <f t="shared" si="0"/>
        <v>99.82270653590415</v>
      </c>
      <c r="G71" s="35">
        <f t="shared" si="0"/>
        <v>733808.01</v>
      </c>
      <c r="H71" s="35">
        <f t="shared" si="0"/>
        <v>103.3741686739015</v>
      </c>
      <c r="I71" s="35">
        <f t="shared" si="0"/>
        <v>168089.19999999998</v>
      </c>
    </row>
    <row r="72" spans="1:9" ht="12.75">
      <c r="A72" s="86" t="s">
        <v>22</v>
      </c>
      <c r="B72" s="87"/>
      <c r="C72" s="87"/>
      <c r="D72" s="87"/>
      <c r="E72" s="87"/>
      <c r="F72" s="87"/>
      <c r="G72" s="87"/>
      <c r="H72" s="87"/>
      <c r="I72" s="88"/>
    </row>
    <row r="73" spans="1:9" ht="12.75">
      <c r="A73" s="7" t="s">
        <v>23</v>
      </c>
      <c r="B73" s="35">
        <f>B74+B75+B76+B77+B78+B79+B80+B81</f>
        <v>135130</v>
      </c>
      <c r="C73" s="35">
        <f>C74+C75+C76+C77+C78+C79+C80+C81</f>
        <v>42779</v>
      </c>
      <c r="D73" s="35">
        <f>D74+D75+D76+D77+D78+D79+D80+D81</f>
        <v>41554.8</v>
      </c>
      <c r="E73" s="26">
        <f>$D:$D/$B:$B*100</f>
        <v>30.751720565381486</v>
      </c>
      <c r="F73" s="26">
        <f>$D:$D/$C:$C*100</f>
        <v>97.13831552864724</v>
      </c>
      <c r="G73" s="35">
        <f>G74+G75+G76+G77+G78+G79+G80+G81</f>
        <v>39596</v>
      </c>
      <c r="H73" s="26">
        <f>$D:$D/$G:$G*100</f>
        <v>104.9469643398323</v>
      </c>
      <c r="I73" s="35" t="e">
        <f>I74+I75+I76+I77+I78+I79+I80+I81</f>
        <v>#REF!</v>
      </c>
    </row>
    <row r="74" spans="1:9" ht="14.25" customHeight="1">
      <c r="A74" s="8" t="s">
        <v>24</v>
      </c>
      <c r="B74" s="36">
        <v>2230.1</v>
      </c>
      <c r="C74" s="36">
        <v>591.4</v>
      </c>
      <c r="D74" s="36">
        <v>591.4</v>
      </c>
      <c r="E74" s="29">
        <f>$D:$D/$B:$B*100</f>
        <v>26.518990179812562</v>
      </c>
      <c r="F74" s="29">
        <f>$D:$D/$C:$C*100</f>
        <v>100</v>
      </c>
      <c r="G74" s="36">
        <v>289.7</v>
      </c>
      <c r="H74" s="29">
        <f>$D:$D/$G:$G*100</f>
        <v>204.1422160856058</v>
      </c>
      <c r="I74" s="36" t="e">
        <f>D74-#REF!</f>
        <v>#REF!</v>
      </c>
    </row>
    <row r="75" spans="1:9" ht="12.75">
      <c r="A75" s="8" t="s">
        <v>25</v>
      </c>
      <c r="B75" s="36">
        <v>5806.3</v>
      </c>
      <c r="C75" s="36">
        <v>2040.5</v>
      </c>
      <c r="D75" s="36">
        <v>1700.1</v>
      </c>
      <c r="E75" s="29">
        <f>$D:$D/$B:$B*100</f>
        <v>29.28026454024077</v>
      </c>
      <c r="F75" s="29">
        <f>$D:$D/$C:$C*100</f>
        <v>83.31781426121049</v>
      </c>
      <c r="G75" s="36">
        <v>1728</v>
      </c>
      <c r="H75" s="29">
        <f>$D:$D/$G:$G*100</f>
        <v>98.38541666666666</v>
      </c>
      <c r="I75" s="36" t="e">
        <f>D75-#REF!</f>
        <v>#REF!</v>
      </c>
    </row>
    <row r="76" spans="1:9" ht="25.5">
      <c r="A76" s="8" t="s">
        <v>26</v>
      </c>
      <c r="B76" s="36">
        <v>50584.7</v>
      </c>
      <c r="C76" s="36">
        <v>17766.9</v>
      </c>
      <c r="D76" s="36">
        <v>17383.9</v>
      </c>
      <c r="E76" s="29">
        <f>$D:$D/$B:$B*100</f>
        <v>34.365924874517404</v>
      </c>
      <c r="F76" s="29">
        <f>$D:$D/$C:$C*100</f>
        <v>97.8443059847244</v>
      </c>
      <c r="G76" s="36">
        <v>15812.7</v>
      </c>
      <c r="H76" s="29">
        <f>$D:$D/$G:$G*100</f>
        <v>109.93631701101015</v>
      </c>
      <c r="I76" s="36" t="e">
        <f>D76-#REF!</f>
        <v>#REF!</v>
      </c>
    </row>
    <row r="77" spans="1:9" ht="12.75">
      <c r="A77" s="8" t="s">
        <v>72</v>
      </c>
      <c r="B77" s="45">
        <v>30.1</v>
      </c>
      <c r="C77" s="45">
        <v>30.1</v>
      </c>
      <c r="D77" s="45">
        <v>0</v>
      </c>
      <c r="E77" s="29">
        <v>0</v>
      </c>
      <c r="F77" s="29">
        <v>0</v>
      </c>
      <c r="G77" s="45">
        <v>0</v>
      </c>
      <c r="H77" s="29">
        <v>0</v>
      </c>
      <c r="I77" s="36" t="e">
        <f>D77-#REF!</f>
        <v>#REF!</v>
      </c>
    </row>
    <row r="78" spans="1:9" ht="25.5">
      <c r="A78" s="1" t="s">
        <v>27</v>
      </c>
      <c r="B78" s="28">
        <v>13022.4</v>
      </c>
      <c r="C78" s="28">
        <v>5797.9</v>
      </c>
      <c r="D78" s="28">
        <v>5457</v>
      </c>
      <c r="E78" s="29">
        <f>$D:$D/$B:$B*100</f>
        <v>41.904718024327316</v>
      </c>
      <c r="F78" s="29">
        <v>0</v>
      </c>
      <c r="G78" s="28">
        <v>4897.7</v>
      </c>
      <c r="H78" s="29">
        <f>$D:$D/$G:$G*100</f>
        <v>111.41964595626519</v>
      </c>
      <c r="I78" s="36" t="e">
        <f>D78-#REF!</f>
        <v>#REF!</v>
      </c>
    </row>
    <row r="79" spans="1:9" ht="12.75" hidden="1">
      <c r="A79" s="8" t="s">
        <v>28</v>
      </c>
      <c r="B79" s="36">
        <v>0</v>
      </c>
      <c r="C79" s="36">
        <v>0</v>
      </c>
      <c r="D79" s="36">
        <v>0</v>
      </c>
      <c r="E79" s="29">
        <v>0</v>
      </c>
      <c r="F79" s="29">
        <v>0</v>
      </c>
      <c r="G79" s="36">
        <v>0</v>
      </c>
      <c r="H79" s="29">
        <v>0</v>
      </c>
      <c r="I79" s="36" t="e">
        <f>D79-#REF!</f>
        <v>#REF!</v>
      </c>
    </row>
    <row r="80" spans="1:9" ht="12.75">
      <c r="A80" s="8" t="s">
        <v>29</v>
      </c>
      <c r="B80" s="36">
        <v>1056</v>
      </c>
      <c r="C80" s="36">
        <v>0</v>
      </c>
      <c r="D80" s="36">
        <v>0</v>
      </c>
      <c r="E80" s="29">
        <f>$D:$D/$B:$B*100</f>
        <v>0</v>
      </c>
      <c r="F80" s="29">
        <v>0</v>
      </c>
      <c r="G80" s="36">
        <v>0</v>
      </c>
      <c r="H80" s="29">
        <v>0</v>
      </c>
      <c r="I80" s="36" t="e">
        <f>D80-#REF!</f>
        <v>#REF!</v>
      </c>
    </row>
    <row r="81" spans="1:9" ht="12.75">
      <c r="A81" s="1" t="s">
        <v>30</v>
      </c>
      <c r="B81" s="36">
        <v>62400.4</v>
      </c>
      <c r="C81" s="36">
        <v>16552.2</v>
      </c>
      <c r="D81" s="36">
        <v>16422.4</v>
      </c>
      <c r="E81" s="29">
        <f>$D:$D/$B:$B*100</f>
        <v>26.317780014230678</v>
      </c>
      <c r="F81" s="29">
        <f>$D:$D/$C:$C*100</f>
        <v>99.21581421200808</v>
      </c>
      <c r="G81" s="36">
        <v>16867.9</v>
      </c>
      <c r="H81" s="29">
        <f>$D:$D/$G:$G*100</f>
        <v>97.35888877690762</v>
      </c>
      <c r="I81" s="36" t="e">
        <f>D81-#REF!</f>
        <v>#REF!</v>
      </c>
    </row>
    <row r="82" spans="1:9" ht="12.75">
      <c r="A82" s="7" t="s">
        <v>31</v>
      </c>
      <c r="B82" s="27">
        <v>377.1</v>
      </c>
      <c r="C82" s="27">
        <v>211.8</v>
      </c>
      <c r="D82" s="35">
        <v>131.1</v>
      </c>
      <c r="E82" s="26">
        <f>$D:$D/$B:$B*100</f>
        <v>34.76531424025457</v>
      </c>
      <c r="F82" s="26">
        <f>$D:$D/$C:$C*100</f>
        <v>61.89801699716714</v>
      </c>
      <c r="G82" s="35">
        <v>124.5</v>
      </c>
      <c r="H82" s="26">
        <v>0</v>
      </c>
      <c r="I82" s="35" t="e">
        <f>D82-#REF!</f>
        <v>#REF!</v>
      </c>
    </row>
    <row r="83" spans="1:9" ht="25.5">
      <c r="A83" s="9" t="s">
        <v>32</v>
      </c>
      <c r="B83" s="27">
        <v>4849.7</v>
      </c>
      <c r="C83" s="27">
        <v>1302.7</v>
      </c>
      <c r="D83" s="27">
        <v>1276.9</v>
      </c>
      <c r="E83" s="26">
        <f>$D:$D/$B:$B*100</f>
        <v>26.32946367816566</v>
      </c>
      <c r="F83" s="26">
        <f>$D:$D/$C:$C*100</f>
        <v>98.0194979657634</v>
      </c>
      <c r="G83" s="27">
        <v>1226.1</v>
      </c>
      <c r="H83" s="26">
        <f>$D:$D/$G:$G*100</f>
        <v>104.14321833455674</v>
      </c>
      <c r="I83" s="35" t="e">
        <f>D83-#REF!</f>
        <v>#REF!</v>
      </c>
    </row>
    <row r="84" spans="1:9" ht="12.75">
      <c r="A84" s="7" t="s">
        <v>33</v>
      </c>
      <c r="B84" s="35">
        <f>B85+B86+B87+B88+B89</f>
        <v>177463.99999999997</v>
      </c>
      <c r="C84" s="35">
        <f>C85+C86+C87+C88+C89</f>
        <v>25380.3</v>
      </c>
      <c r="D84" s="35">
        <f>D85+D86+D87+D88+D89</f>
        <v>21369</v>
      </c>
      <c r="E84" s="26">
        <f>$D:$D/$B:$B*100</f>
        <v>12.041315421719338</v>
      </c>
      <c r="F84" s="26">
        <f>$D:$D/$C:$C*100</f>
        <v>84.19522227869646</v>
      </c>
      <c r="G84" s="35">
        <f>G85+G86+G87+G88+G89</f>
        <v>19549.300000000003</v>
      </c>
      <c r="H84" s="26">
        <f>$D:$D/$G:$G*100</f>
        <v>109.30826167688868</v>
      </c>
      <c r="I84" s="35" t="e">
        <f>I85+I86+I87+I88+I89</f>
        <v>#REF!</v>
      </c>
    </row>
    <row r="85" spans="1:9" ht="12.75" hidden="1">
      <c r="A85" s="10" t="s">
        <v>64</v>
      </c>
      <c r="B85" s="36"/>
      <c r="C85" s="36"/>
      <c r="D85" s="36"/>
      <c r="E85" s="29">
        <v>0</v>
      </c>
      <c r="F85" s="29">
        <v>0</v>
      </c>
      <c r="G85" s="36"/>
      <c r="H85" s="29">
        <v>0</v>
      </c>
      <c r="I85" s="36" t="e">
        <f>D85-#REF!</f>
        <v>#REF!</v>
      </c>
    </row>
    <row r="86" spans="1:9" ht="12.75">
      <c r="A86" s="10" t="s">
        <v>67</v>
      </c>
      <c r="B86" s="36">
        <v>48299.2</v>
      </c>
      <c r="C86" s="36">
        <v>0</v>
      </c>
      <c r="D86" s="36">
        <v>0</v>
      </c>
      <c r="E86" s="29">
        <v>0</v>
      </c>
      <c r="F86" s="29">
        <v>0</v>
      </c>
      <c r="G86" s="36">
        <v>0</v>
      </c>
      <c r="H86" s="29">
        <v>0</v>
      </c>
      <c r="I86" s="36" t="e">
        <f>D86-#REF!</f>
        <v>#REF!</v>
      </c>
    </row>
    <row r="87" spans="1:9" ht="12.75">
      <c r="A87" s="8" t="s">
        <v>34</v>
      </c>
      <c r="B87" s="36">
        <v>24097</v>
      </c>
      <c r="C87" s="36">
        <v>7530.8</v>
      </c>
      <c r="D87" s="36">
        <v>7530.8</v>
      </c>
      <c r="E87" s="29">
        <f>$D:$D/$B:$B*100</f>
        <v>31.252023073411628</v>
      </c>
      <c r="F87" s="29">
        <v>0</v>
      </c>
      <c r="G87" s="36">
        <v>6354.8</v>
      </c>
      <c r="H87" s="29">
        <v>0</v>
      </c>
      <c r="I87" s="36" t="e">
        <f>D87-#REF!</f>
        <v>#REF!</v>
      </c>
    </row>
    <row r="88" spans="1:9" ht="12.75">
      <c r="A88" s="10" t="s">
        <v>77</v>
      </c>
      <c r="B88" s="28">
        <v>93929.4</v>
      </c>
      <c r="C88" s="28">
        <v>13972.8</v>
      </c>
      <c r="D88" s="28">
        <v>9972.8</v>
      </c>
      <c r="E88" s="29">
        <f>$D:$D/$B:$B*100</f>
        <v>10.61733599916533</v>
      </c>
      <c r="F88" s="29">
        <f>$D:$D/$C:$C*100</f>
        <v>71.37295316615138</v>
      </c>
      <c r="G88" s="28">
        <v>9391.6</v>
      </c>
      <c r="H88" s="29">
        <v>0</v>
      </c>
      <c r="I88" s="36" t="e">
        <f>D88-#REF!</f>
        <v>#REF!</v>
      </c>
    </row>
    <row r="89" spans="1:9" ht="12.75">
      <c r="A89" s="8" t="s">
        <v>35</v>
      </c>
      <c r="B89" s="36">
        <v>11138.4</v>
      </c>
      <c r="C89" s="36">
        <v>3876.7</v>
      </c>
      <c r="D89" s="36">
        <v>3865.4</v>
      </c>
      <c r="E89" s="29">
        <f>$D:$D/$B:$B*100</f>
        <v>34.70336852689794</v>
      </c>
      <c r="F89" s="29">
        <f>$D:$D/$C:$C*100</f>
        <v>99.7085149740759</v>
      </c>
      <c r="G89" s="36">
        <v>3802.9</v>
      </c>
      <c r="H89" s="29">
        <f>$D:$D/$G:$G*100</f>
        <v>101.6434826053801</v>
      </c>
      <c r="I89" s="36" t="e">
        <f>D89-#REF!</f>
        <v>#REF!</v>
      </c>
    </row>
    <row r="90" spans="1:9" ht="12.75">
      <c r="A90" s="11" t="s">
        <v>36</v>
      </c>
      <c r="B90" s="35">
        <f>B92+B93+B94+B91</f>
        <v>175247.3</v>
      </c>
      <c r="C90" s="35">
        <f>C92+C93+C94+C91</f>
        <v>19044.4</v>
      </c>
      <c r="D90" s="35">
        <f>D92+D93+D94+D91</f>
        <v>17413.100000000002</v>
      </c>
      <c r="E90" s="35">
        <f>E92+E93+E94+E91</f>
        <v>49.17013718241245</v>
      </c>
      <c r="F90" s="26">
        <f>$D:$D/$C:$C*100</f>
        <v>91.43422738442797</v>
      </c>
      <c r="G90" s="35">
        <f>G92+G93+G94+G91</f>
        <v>20081.8</v>
      </c>
      <c r="H90" s="35">
        <f>H92+H93+H94</f>
        <v>194.5212622462535</v>
      </c>
      <c r="I90" s="35" t="e">
        <f>I92+I93+I94+I91</f>
        <v>#REF!</v>
      </c>
    </row>
    <row r="91" spans="1:9" ht="12.75">
      <c r="A91" s="8" t="s">
        <v>37</v>
      </c>
      <c r="B91" s="36">
        <v>74060</v>
      </c>
      <c r="C91" s="49">
        <v>0</v>
      </c>
      <c r="D91" s="49">
        <v>0</v>
      </c>
      <c r="E91" s="48">
        <v>0</v>
      </c>
      <c r="F91" s="29">
        <v>0</v>
      </c>
      <c r="G91" s="71">
        <v>0</v>
      </c>
      <c r="H91" s="29">
        <v>0</v>
      </c>
      <c r="I91" s="36" t="e">
        <f>D91-#REF!</f>
        <v>#REF!</v>
      </c>
    </row>
    <row r="92" spans="1:9" ht="12.75">
      <c r="A92" s="8" t="s">
        <v>38</v>
      </c>
      <c r="B92" s="36">
        <v>7304.2</v>
      </c>
      <c r="C92" s="36">
        <v>1405.2</v>
      </c>
      <c r="D92" s="36">
        <v>5.2</v>
      </c>
      <c r="E92" s="29">
        <f>$D:$D/$B:$B*100</f>
        <v>0.07119191697927221</v>
      </c>
      <c r="F92" s="29">
        <v>0</v>
      </c>
      <c r="G92" s="36">
        <v>1558.4</v>
      </c>
      <c r="H92" s="29">
        <v>0</v>
      </c>
      <c r="I92" s="36" t="e">
        <f>D92-#REF!</f>
        <v>#REF!</v>
      </c>
    </row>
    <row r="93" spans="1:9" ht="12.75">
      <c r="A93" s="8" t="s">
        <v>39</v>
      </c>
      <c r="B93" s="36">
        <v>76148.1</v>
      </c>
      <c r="C93" s="36">
        <v>11543.8</v>
      </c>
      <c r="D93" s="36">
        <v>11341.7</v>
      </c>
      <c r="E93" s="29">
        <f>$D:$D/$B:$B*100</f>
        <v>14.894265254156045</v>
      </c>
      <c r="F93" s="29">
        <f>$D:$D/$C:$C*100</f>
        <v>98.24927666799496</v>
      </c>
      <c r="G93" s="36">
        <v>12793.5</v>
      </c>
      <c r="H93" s="29">
        <f>$D:$D/$G:$G*100</f>
        <v>88.65204986907415</v>
      </c>
      <c r="I93" s="36" t="e">
        <f>D93-#REF!</f>
        <v>#REF!</v>
      </c>
    </row>
    <row r="94" spans="1:9" ht="12.75">
      <c r="A94" s="8" t="s">
        <v>40</v>
      </c>
      <c r="B94" s="36">
        <v>17735</v>
      </c>
      <c r="C94" s="36">
        <v>6095.4</v>
      </c>
      <c r="D94" s="36">
        <v>6066.2</v>
      </c>
      <c r="E94" s="29">
        <f>$D:$D/$B:$B*100</f>
        <v>34.204680011277134</v>
      </c>
      <c r="F94" s="29">
        <f>$D:$D/$C:$C*100</f>
        <v>99.52095022475966</v>
      </c>
      <c r="G94" s="36">
        <v>5729.9</v>
      </c>
      <c r="H94" s="29">
        <f>$D:$D/$G:$G*100</f>
        <v>105.86921237717937</v>
      </c>
      <c r="I94" s="36" t="e">
        <f>D94-#REF!</f>
        <v>#REF!</v>
      </c>
    </row>
    <row r="95" spans="1:9" ht="12.75">
      <c r="A95" s="11" t="s">
        <v>115</v>
      </c>
      <c r="B95" s="35">
        <f aca="true" t="shared" si="1" ref="B95:I95">B96</f>
        <v>1872</v>
      </c>
      <c r="C95" s="35">
        <f t="shared" si="1"/>
        <v>0</v>
      </c>
      <c r="D95" s="35">
        <f t="shared" si="1"/>
        <v>0</v>
      </c>
      <c r="E95" s="35">
        <f t="shared" si="1"/>
        <v>0</v>
      </c>
      <c r="F95" s="35">
        <f t="shared" si="1"/>
        <v>0</v>
      </c>
      <c r="G95" s="35">
        <f t="shared" si="1"/>
        <v>0</v>
      </c>
      <c r="H95" s="35">
        <f t="shared" si="1"/>
        <v>0</v>
      </c>
      <c r="I95" s="35">
        <f t="shared" si="1"/>
        <v>0</v>
      </c>
    </row>
    <row r="96" spans="1:9" ht="25.5">
      <c r="A96" s="8" t="s">
        <v>143</v>
      </c>
      <c r="B96" s="36">
        <v>1872</v>
      </c>
      <c r="C96" s="36">
        <v>0</v>
      </c>
      <c r="D96" s="36">
        <v>0</v>
      </c>
      <c r="E96" s="29">
        <f>$D:$D/$B:$B*100</f>
        <v>0</v>
      </c>
      <c r="F96" s="29">
        <v>0</v>
      </c>
      <c r="G96" s="36">
        <v>0</v>
      </c>
      <c r="H96" s="29">
        <v>0</v>
      </c>
      <c r="I96" s="36">
        <v>0</v>
      </c>
    </row>
    <row r="97" spans="1:9" ht="12.75">
      <c r="A97" s="11" t="s">
        <v>41</v>
      </c>
      <c r="B97" s="35">
        <f>B98+B99+B100+B102+B103+B101</f>
        <v>1579439.2</v>
      </c>
      <c r="C97" s="35">
        <f>C98+C99+C100+C102+C103+C101</f>
        <v>567735.7999999999</v>
      </c>
      <c r="D97" s="35">
        <f>D98+D99+D100+D102+D103+D101</f>
        <v>554763.2000000001</v>
      </c>
      <c r="E97" s="35">
        <f>E98+E99+E102+E103+E100</f>
        <v>159.995769046852</v>
      </c>
      <c r="F97" s="35">
        <f>F98+F99+F102+F103+F100</f>
        <v>479.08892556107594</v>
      </c>
      <c r="G97" s="35">
        <f>G98+G99+G100+G102+G103+G101</f>
        <v>487789.49999999994</v>
      </c>
      <c r="H97" s="35">
        <f>H98+H99+H100+H102+H103+H101</f>
        <v>433.992226561203</v>
      </c>
      <c r="I97" s="35" t="e">
        <f>I98+I99+I100+I102+I103+I101</f>
        <v>#REF!</v>
      </c>
    </row>
    <row r="98" spans="1:9" ht="12.75">
      <c r="A98" s="8" t="s">
        <v>42</v>
      </c>
      <c r="B98" s="36">
        <v>612962.6</v>
      </c>
      <c r="C98" s="36">
        <v>214753.4</v>
      </c>
      <c r="D98" s="36">
        <v>209802.5</v>
      </c>
      <c r="E98" s="29">
        <f>$D:$D/$B:$B*100</f>
        <v>34.227618455024825</v>
      </c>
      <c r="F98" s="29">
        <f>$D:$D/$C:$C*100</f>
        <v>97.69461158705754</v>
      </c>
      <c r="G98" s="36">
        <v>199209.3</v>
      </c>
      <c r="H98" s="29">
        <f>$D:$D/$G:$G*100</f>
        <v>105.31762322341378</v>
      </c>
      <c r="I98" s="36" t="e">
        <f>D98-#REF!</f>
        <v>#REF!</v>
      </c>
    </row>
    <row r="99" spans="1:9" ht="12.75">
      <c r="A99" s="8" t="s">
        <v>43</v>
      </c>
      <c r="B99" s="36">
        <v>627529.2</v>
      </c>
      <c r="C99" s="36">
        <v>235276.2</v>
      </c>
      <c r="D99" s="36">
        <v>232187.2</v>
      </c>
      <c r="E99" s="29">
        <f>$D:$D/$B:$B*100</f>
        <v>37.00022245976761</v>
      </c>
      <c r="F99" s="29">
        <f>$D:$D/$C:$C*100</f>
        <v>98.68707502076283</v>
      </c>
      <c r="G99" s="36">
        <v>192866.9</v>
      </c>
      <c r="H99" s="29">
        <f>$D:$D/$G:$G*100</f>
        <v>120.38727225874426</v>
      </c>
      <c r="I99" s="36" t="e">
        <f>D99-#REF!</f>
        <v>#REF!</v>
      </c>
    </row>
    <row r="100" spans="1:9" ht="12.75">
      <c r="A100" s="8" t="s">
        <v>105</v>
      </c>
      <c r="B100" s="36">
        <v>123968.2</v>
      </c>
      <c r="C100" s="36">
        <v>54476.9</v>
      </c>
      <c r="D100" s="36">
        <v>52505.4</v>
      </c>
      <c r="E100" s="29">
        <f>$D:$D/$B:$B*100</f>
        <v>42.35392624882833</v>
      </c>
      <c r="F100" s="29">
        <f>$D:$D/$C:$C*100</f>
        <v>96.38103489736017</v>
      </c>
      <c r="G100" s="36">
        <v>41561.8</v>
      </c>
      <c r="H100" s="29">
        <v>0</v>
      </c>
      <c r="I100" s="36" t="e">
        <f>D100-#REF!</f>
        <v>#REF!</v>
      </c>
    </row>
    <row r="101" spans="1:9" ht="25.5" customHeight="1">
      <c r="A101" s="8" t="s">
        <v>123</v>
      </c>
      <c r="B101" s="36">
        <v>1624.6</v>
      </c>
      <c r="C101" s="36">
        <v>1010.7</v>
      </c>
      <c r="D101" s="36">
        <v>584.3</v>
      </c>
      <c r="E101" s="29">
        <f>$D:$D/$B:$B*100</f>
        <v>35.96577619106242</v>
      </c>
      <c r="F101" s="29">
        <f>$D:$D/$C:$C*100</f>
        <v>57.81141782922726</v>
      </c>
      <c r="G101" s="36">
        <v>0</v>
      </c>
      <c r="H101" s="29">
        <v>0</v>
      </c>
      <c r="I101" s="36" t="e">
        <f>D101-#REF!</f>
        <v>#REF!</v>
      </c>
    </row>
    <row r="102" spans="1:9" ht="12.75">
      <c r="A102" s="8" t="s">
        <v>44</v>
      </c>
      <c r="B102" s="36">
        <v>60533</v>
      </c>
      <c r="C102" s="36">
        <v>8251.3</v>
      </c>
      <c r="D102" s="36">
        <v>7376.9</v>
      </c>
      <c r="E102" s="29">
        <f>$D:$D/$B:$B*100</f>
        <v>12.186575917268266</v>
      </c>
      <c r="F102" s="29">
        <f>$D:$D/$C:$C*100</f>
        <v>89.4028819701138</v>
      </c>
      <c r="G102" s="36">
        <v>7712.2</v>
      </c>
      <c r="H102" s="29">
        <f>$D:$D/$G:$G*100</f>
        <v>95.65234304089624</v>
      </c>
      <c r="I102" s="36" t="e">
        <f>D102-#REF!</f>
        <v>#REF!</v>
      </c>
    </row>
    <row r="103" spans="1:9" ht="12.75">
      <c r="A103" s="8" t="s">
        <v>45</v>
      </c>
      <c r="B103" s="36">
        <v>152821.6</v>
      </c>
      <c r="C103" s="36">
        <v>53967.3</v>
      </c>
      <c r="D103" s="28">
        <v>52306.9</v>
      </c>
      <c r="E103" s="29">
        <f>$D:$D/$B:$B*100</f>
        <v>34.22742596596293</v>
      </c>
      <c r="F103" s="29">
        <f>$D:$D/$C:$C*100</f>
        <v>96.92332208578158</v>
      </c>
      <c r="G103" s="28">
        <v>46439.3</v>
      </c>
      <c r="H103" s="29">
        <f>$D:$D/$G:$G*100</f>
        <v>112.6349880381487</v>
      </c>
      <c r="I103" s="36" t="e">
        <f>D103-#REF!</f>
        <v>#REF!</v>
      </c>
    </row>
    <row r="104" spans="1:9" ht="25.5">
      <c r="A104" s="11" t="s">
        <v>46</v>
      </c>
      <c r="B104" s="35">
        <f>B105+B106</f>
        <v>198729.80000000002</v>
      </c>
      <c r="C104" s="35">
        <f>C105+C106</f>
        <v>43678</v>
      </c>
      <c r="D104" s="35">
        <f>D105+D106</f>
        <v>43615.5</v>
      </c>
      <c r="E104" s="26">
        <f>$D:$D/$B:$B*100</f>
        <v>21.947136262402516</v>
      </c>
      <c r="F104" s="26">
        <f>$D:$D/$C:$C*100</f>
        <v>99.85690736755346</v>
      </c>
      <c r="G104" s="35">
        <f>G105+G106</f>
        <v>40047.299999999996</v>
      </c>
      <c r="H104" s="26">
        <f>$D:$D/$G:$G*100</f>
        <v>108.90996396760832</v>
      </c>
      <c r="I104" s="35" t="e">
        <f>I105+I106</f>
        <v>#REF!</v>
      </c>
    </row>
    <row r="105" spans="1:9" ht="12.75">
      <c r="A105" s="8" t="s">
        <v>47</v>
      </c>
      <c r="B105" s="36">
        <v>188990.2</v>
      </c>
      <c r="C105" s="36">
        <v>41751.1</v>
      </c>
      <c r="D105" s="36">
        <v>41720.5</v>
      </c>
      <c r="E105" s="29">
        <f>$D:$D/$B:$B*100</f>
        <v>22.075483279027164</v>
      </c>
      <c r="F105" s="29">
        <f>$D:$D/$C:$C*100</f>
        <v>99.92670851785941</v>
      </c>
      <c r="G105" s="36">
        <v>39098.7</v>
      </c>
      <c r="H105" s="29">
        <f>$D:$D/$G:$G*100</f>
        <v>106.70559379212096</v>
      </c>
      <c r="I105" s="36" t="e">
        <f>D105-#REF!</f>
        <v>#REF!</v>
      </c>
    </row>
    <row r="106" spans="1:9" ht="25.5">
      <c r="A106" s="8" t="s">
        <v>48</v>
      </c>
      <c r="B106" s="36">
        <v>9739.6</v>
      </c>
      <c r="C106" s="36">
        <v>1926.9</v>
      </c>
      <c r="D106" s="36">
        <v>1895</v>
      </c>
      <c r="E106" s="29">
        <f>$D:$D/$B:$B*100</f>
        <v>19.45665119717442</v>
      </c>
      <c r="F106" s="29">
        <f>$D:$D/$C:$C*100</f>
        <v>98.34449115159063</v>
      </c>
      <c r="G106" s="36">
        <v>948.6</v>
      </c>
      <c r="H106" s="29">
        <v>0</v>
      </c>
      <c r="I106" s="36" t="e">
        <f>D106-#REF!</f>
        <v>#REF!</v>
      </c>
    </row>
    <row r="107" spans="1:9" ht="12.75">
      <c r="A107" s="11" t="s">
        <v>97</v>
      </c>
      <c r="B107" s="35">
        <f>B108</f>
        <v>42.5</v>
      </c>
      <c r="C107" s="35">
        <f>C108</f>
        <v>42.5</v>
      </c>
      <c r="D107" s="35">
        <f>D108</f>
        <v>4.5</v>
      </c>
      <c r="E107" s="26">
        <f>$D:$D/$B:$B*100</f>
        <v>10.588235294117647</v>
      </c>
      <c r="F107" s="26">
        <v>0</v>
      </c>
      <c r="G107" s="35">
        <f>G108</f>
        <v>4.6</v>
      </c>
      <c r="H107" s="26">
        <v>0</v>
      </c>
      <c r="I107" s="35" t="e">
        <f>D107-#REF!</f>
        <v>#REF!</v>
      </c>
    </row>
    <row r="108" spans="1:9" ht="12.75">
      <c r="A108" s="8" t="s">
        <v>98</v>
      </c>
      <c r="B108" s="36">
        <v>42.5</v>
      </c>
      <c r="C108" s="36">
        <v>42.5</v>
      </c>
      <c r="D108" s="36">
        <v>4.5</v>
      </c>
      <c r="E108" s="29">
        <f>$D:$D/$B:$B*100</f>
        <v>10.588235294117647</v>
      </c>
      <c r="F108" s="29">
        <v>0</v>
      </c>
      <c r="G108" s="36">
        <v>4.6</v>
      </c>
      <c r="H108" s="29">
        <v>0</v>
      </c>
      <c r="I108" s="36" t="e">
        <f>D108-#REF!</f>
        <v>#REF!</v>
      </c>
    </row>
    <row r="109" spans="1:9" ht="12.75">
      <c r="A109" s="11" t="s">
        <v>49</v>
      </c>
      <c r="B109" s="35">
        <f>B110+B111+B112+B113+B114</f>
        <v>129246.9</v>
      </c>
      <c r="C109" s="35">
        <f>C110+C111+C112+C113+C114</f>
        <v>48769</v>
      </c>
      <c r="D109" s="35">
        <f>D110+D111+D112+D113+D114</f>
        <v>19819.4</v>
      </c>
      <c r="E109" s="26">
        <f>$D:$D/$B:$B*100</f>
        <v>15.334526398698925</v>
      </c>
      <c r="F109" s="26">
        <f>$D:$D/$C:$C*100</f>
        <v>40.63934056470299</v>
      </c>
      <c r="G109" s="35">
        <f>G110+G111+G112+G113+G114</f>
        <v>53031.5</v>
      </c>
      <c r="H109" s="26">
        <v>0</v>
      </c>
      <c r="I109" s="35" t="e">
        <f>D109-#REF!</f>
        <v>#REF!</v>
      </c>
    </row>
    <row r="110" spans="1:9" ht="12.75">
      <c r="A110" s="8" t="s">
        <v>50</v>
      </c>
      <c r="B110" s="36">
        <v>2000</v>
      </c>
      <c r="C110" s="36">
        <v>639.4</v>
      </c>
      <c r="D110" s="36">
        <v>639.4</v>
      </c>
      <c r="E110" s="29">
        <f>$D:$D/$B:$B*100</f>
        <v>31.97</v>
      </c>
      <c r="F110" s="29">
        <v>0</v>
      </c>
      <c r="G110" s="36">
        <v>523.3</v>
      </c>
      <c r="H110" s="29">
        <v>0</v>
      </c>
      <c r="I110" s="36" t="e">
        <f>D110-#REF!</f>
        <v>#REF!</v>
      </c>
    </row>
    <row r="111" spans="1:9" ht="12.75">
      <c r="A111" s="8" t="s">
        <v>51</v>
      </c>
      <c r="B111" s="36">
        <v>0</v>
      </c>
      <c r="C111" s="36">
        <v>0</v>
      </c>
      <c r="D111" s="36">
        <v>0</v>
      </c>
      <c r="E111" s="29">
        <v>0</v>
      </c>
      <c r="F111" s="29">
        <v>0</v>
      </c>
      <c r="G111" s="36">
        <v>23857.5</v>
      </c>
      <c r="H111" s="29">
        <f>$D:$D/$G:$G*100</f>
        <v>0</v>
      </c>
      <c r="I111" s="36" t="e">
        <f>D111-#REF!</f>
        <v>#REF!</v>
      </c>
    </row>
    <row r="112" spans="1:9" ht="12.75">
      <c r="A112" s="8" t="s">
        <v>52</v>
      </c>
      <c r="B112" s="36">
        <v>39361.3</v>
      </c>
      <c r="C112" s="36">
        <v>17677</v>
      </c>
      <c r="D112" s="36">
        <v>16332.5</v>
      </c>
      <c r="E112" s="29">
        <f>$D:$D/$B:$B*100</f>
        <v>41.49380228803418</v>
      </c>
      <c r="F112" s="29">
        <f>$D:$D/$C:$C*100</f>
        <v>92.39407139220455</v>
      </c>
      <c r="G112" s="36">
        <v>13392.7</v>
      </c>
      <c r="H112" s="29">
        <v>0</v>
      </c>
      <c r="I112" s="36" t="e">
        <f>D112-#REF!</f>
        <v>#REF!</v>
      </c>
    </row>
    <row r="113" spans="1:9" ht="12.75">
      <c r="A113" s="8" t="s">
        <v>53</v>
      </c>
      <c r="B113" s="28">
        <v>85451.4</v>
      </c>
      <c r="C113" s="28">
        <v>29079.4</v>
      </c>
      <c r="D113" s="28">
        <v>1900.3</v>
      </c>
      <c r="E113" s="29">
        <f>$D:$D/$B:$B*100</f>
        <v>2.2238371752832604</v>
      </c>
      <c r="F113" s="29">
        <v>0</v>
      </c>
      <c r="G113" s="28">
        <v>1983.2</v>
      </c>
      <c r="H113" s="29">
        <v>0</v>
      </c>
      <c r="I113" s="36" t="e">
        <f>D113-#REF!</f>
        <v>#REF!</v>
      </c>
    </row>
    <row r="114" spans="1:9" ht="12.75">
      <c r="A114" s="8" t="s">
        <v>54</v>
      </c>
      <c r="B114" s="36">
        <v>2434.2</v>
      </c>
      <c r="C114" s="36">
        <v>1373.2</v>
      </c>
      <c r="D114" s="36">
        <v>947.2</v>
      </c>
      <c r="E114" s="29">
        <f>$D:$D/$B:$B*100</f>
        <v>38.912168268835764</v>
      </c>
      <c r="F114" s="29">
        <f>$D:$D/$C:$C*100</f>
        <v>68.97757063792601</v>
      </c>
      <c r="G114" s="36">
        <v>13274.8</v>
      </c>
      <c r="H114" s="29">
        <f>$D:$D/$G:$G*100</f>
        <v>7.135324072679062</v>
      </c>
      <c r="I114" s="36" t="e">
        <f>D114-#REF!</f>
        <v>#REF!</v>
      </c>
    </row>
    <row r="115" spans="1:9" ht="12.75">
      <c r="A115" s="11" t="s">
        <v>61</v>
      </c>
      <c r="B115" s="27">
        <f>B116+B117+B118</f>
        <v>69859.90000000001</v>
      </c>
      <c r="C115" s="27">
        <f>C116+C117+C118</f>
        <v>25310.500000000004</v>
      </c>
      <c r="D115" s="27">
        <f>D116+D117+D118</f>
        <v>25277.9</v>
      </c>
      <c r="E115" s="26">
        <f>$D:$D/$B:$B*100</f>
        <v>36.183704814922436</v>
      </c>
      <c r="F115" s="26">
        <f>$D:$D/$C:$C*100</f>
        <v>99.87119969972935</v>
      </c>
      <c r="G115" s="27">
        <f>G116+G117+G118</f>
        <v>24477.399999999998</v>
      </c>
      <c r="H115" s="26">
        <f>$D:$D/$G:$G*100</f>
        <v>103.27036368241727</v>
      </c>
      <c r="I115" s="35" t="e">
        <f>D115-#REF!</f>
        <v>#REF!</v>
      </c>
    </row>
    <row r="116" spans="1:9" ht="16.5" customHeight="1">
      <c r="A116" s="41" t="s">
        <v>62</v>
      </c>
      <c r="B116" s="28">
        <v>59740.3</v>
      </c>
      <c r="C116" s="28">
        <v>22651.4</v>
      </c>
      <c r="D116" s="28">
        <v>22651.4</v>
      </c>
      <c r="E116" s="29">
        <f>$D:$D/$B:$B*100</f>
        <v>37.916448360654364</v>
      </c>
      <c r="F116" s="29">
        <f>$D:$D/$C:$C*100</f>
        <v>100</v>
      </c>
      <c r="G116" s="28">
        <v>22009.2</v>
      </c>
      <c r="H116" s="29">
        <v>0</v>
      </c>
      <c r="I116" s="36" t="e">
        <f>D116-#REF!</f>
        <v>#REF!</v>
      </c>
    </row>
    <row r="117" spans="1:9" ht="16.5" customHeight="1">
      <c r="A117" s="12" t="s">
        <v>63</v>
      </c>
      <c r="B117" s="28">
        <v>6556.6</v>
      </c>
      <c r="C117" s="28">
        <v>1375.7</v>
      </c>
      <c r="D117" s="28">
        <v>1365.4</v>
      </c>
      <c r="E117" s="29">
        <v>0</v>
      </c>
      <c r="F117" s="29">
        <v>0</v>
      </c>
      <c r="G117" s="28">
        <v>1219.1</v>
      </c>
      <c r="H117" s="29">
        <v>0</v>
      </c>
      <c r="I117" s="36" t="e">
        <f>D117-#REF!</f>
        <v>#REF!</v>
      </c>
    </row>
    <row r="118" spans="1:9" ht="27.75" customHeight="1">
      <c r="A118" s="12" t="s">
        <v>73</v>
      </c>
      <c r="B118" s="28">
        <v>3563</v>
      </c>
      <c r="C118" s="28">
        <v>1283.4</v>
      </c>
      <c r="D118" s="28">
        <v>1261.1</v>
      </c>
      <c r="E118" s="29">
        <f>$D:$D/$B:$B*100</f>
        <v>35.39433062026382</v>
      </c>
      <c r="F118" s="29">
        <f>$D:$D/$C:$C*100</f>
        <v>98.26242792582201</v>
      </c>
      <c r="G118" s="28">
        <v>1249.1</v>
      </c>
      <c r="H118" s="29">
        <v>0</v>
      </c>
      <c r="I118" s="36" t="e">
        <f>D118-#REF!</f>
        <v>#REF!</v>
      </c>
    </row>
    <row r="119" spans="1:9" ht="26.25" customHeight="1">
      <c r="A119" s="13" t="s">
        <v>80</v>
      </c>
      <c r="B119" s="27">
        <f>B120</f>
        <v>200</v>
      </c>
      <c r="C119" s="27">
        <f>C120</f>
        <v>0.1</v>
      </c>
      <c r="D119" s="27">
        <f>D120</f>
        <v>0.1</v>
      </c>
      <c r="E119" s="29">
        <f>$D:$D/$B:$B*100</f>
        <v>0.05</v>
      </c>
      <c r="F119" s="29">
        <v>0</v>
      </c>
      <c r="G119" s="27">
        <f>G120</f>
        <v>0</v>
      </c>
      <c r="H119" s="29">
        <v>0</v>
      </c>
      <c r="I119" s="36" t="e">
        <f>D119-#REF!</f>
        <v>#REF!</v>
      </c>
    </row>
    <row r="120" spans="1:9" ht="27.75" customHeight="1">
      <c r="A120" s="12" t="s">
        <v>81</v>
      </c>
      <c r="B120" s="28">
        <v>200</v>
      </c>
      <c r="C120" s="28">
        <v>0.1</v>
      </c>
      <c r="D120" s="28">
        <v>0.1</v>
      </c>
      <c r="E120" s="29">
        <f>$D:$D/$B:$B*100</f>
        <v>0.05</v>
      </c>
      <c r="F120" s="29">
        <v>0</v>
      </c>
      <c r="G120" s="28">
        <v>0</v>
      </c>
      <c r="H120" s="29">
        <v>0</v>
      </c>
      <c r="I120" s="36" t="e">
        <f>D120-#REF!</f>
        <v>#REF!</v>
      </c>
    </row>
    <row r="121" spans="1:9" ht="18.75" customHeight="1">
      <c r="A121" s="77" t="s">
        <v>55</v>
      </c>
      <c r="B121" s="75">
        <f>B73+B82+B83+B84+B90+B97+B104+B107+B109+B115+B119+B95</f>
        <v>2472458.3999999994</v>
      </c>
      <c r="C121" s="75">
        <f>C73+C82+C83+C84+C90+C97+C104+C107+C109+C115+C119+C95</f>
        <v>774254.1</v>
      </c>
      <c r="D121" s="75">
        <f>D73+D82+D83+D84+D90+D97+D104+D107+D109+D115+D119+D95</f>
        <v>725225.5000000001</v>
      </c>
      <c r="E121" s="78">
        <f>$D:$D/$B:$B*100</f>
        <v>29.332161867718394</v>
      </c>
      <c r="F121" s="78">
        <f>$D:$D/$C:$C*100</f>
        <v>93.6676344368083</v>
      </c>
      <c r="G121" s="75">
        <f>G73+G84+G90+G97+G104+G107+G109+G115+G119+G82+G83</f>
        <v>685928</v>
      </c>
      <c r="H121" s="78">
        <f>$D:$D/$G:$G*100</f>
        <v>105.7290998472143</v>
      </c>
      <c r="I121" s="75" t="e">
        <f>I73+I82+I83+I84+I90+I97+I104+I107+I109+I115+I119+I95</f>
        <v>#REF!</v>
      </c>
    </row>
    <row r="122" spans="1:9" ht="17.25" customHeight="1">
      <c r="A122" s="76" t="s">
        <v>56</v>
      </c>
      <c r="B122" s="75">
        <f>B71-B121</f>
        <v>-33376.589999999385</v>
      </c>
      <c r="C122" s="75">
        <f>C71-C121</f>
        <v>-14338.889999999781</v>
      </c>
      <c r="D122" s="75">
        <f>D71-D121</f>
        <v>33342.42999999982</v>
      </c>
      <c r="E122" s="75">
        <f>E71-E121</f>
        <v>1.7683910899538162</v>
      </c>
      <c r="F122" s="75"/>
      <c r="G122" s="75">
        <f>G71-G121</f>
        <v>47880.01000000001</v>
      </c>
      <c r="H122" s="75"/>
      <c r="I122" s="75" t="e">
        <f>D122-#REF!</f>
        <v>#REF!</v>
      </c>
    </row>
    <row r="123" spans="1:9" ht="24" customHeight="1">
      <c r="A123" s="1" t="s">
        <v>57</v>
      </c>
      <c r="B123" s="28" t="s">
        <v>124</v>
      </c>
      <c r="C123" s="28"/>
      <c r="D123" s="28" t="s">
        <v>144</v>
      </c>
      <c r="E123" s="28"/>
      <c r="F123" s="28"/>
      <c r="G123" s="28"/>
      <c r="H123" s="27"/>
      <c r="I123" s="36"/>
    </row>
    <row r="124" spans="1:9" ht="12.75">
      <c r="A124" s="3" t="s">
        <v>58</v>
      </c>
      <c r="B124" s="27" t="e">
        <f>B126+B127</f>
        <v>#REF!</v>
      </c>
      <c r="C124" s="27">
        <f aca="true" t="shared" si="2" ref="C124:H124">C126+C127</f>
        <v>0</v>
      </c>
      <c r="D124" s="27">
        <f>D126+D127</f>
        <v>45134</v>
      </c>
      <c r="E124" s="27">
        <f t="shared" si="2"/>
        <v>0</v>
      </c>
      <c r="F124" s="27">
        <f t="shared" si="2"/>
        <v>0</v>
      </c>
      <c r="G124" s="27">
        <f t="shared" si="2"/>
        <v>0</v>
      </c>
      <c r="H124" s="27">
        <f t="shared" si="2"/>
        <v>0</v>
      </c>
      <c r="I124" s="75" t="e">
        <f>D124-#REF!</f>
        <v>#REF!</v>
      </c>
    </row>
    <row r="125" spans="1:9" ht="12" customHeight="1">
      <c r="A125" s="1" t="s">
        <v>6</v>
      </c>
      <c r="B125" s="28"/>
      <c r="C125" s="28"/>
      <c r="D125" s="28"/>
      <c r="E125" s="28"/>
      <c r="F125" s="28"/>
      <c r="G125" s="28"/>
      <c r="H125" s="37"/>
      <c r="I125" s="79" t="e">
        <f>D125-#REF!</f>
        <v>#REF!</v>
      </c>
    </row>
    <row r="126" spans="1:9" ht="12.75">
      <c r="A126" s="5" t="s">
        <v>59</v>
      </c>
      <c r="B126" s="28" t="e">
        <f>#REF!</f>
        <v>#REF!</v>
      </c>
      <c r="C126" s="28"/>
      <c r="D126" s="28">
        <v>25553</v>
      </c>
      <c r="E126" s="28"/>
      <c r="F126" s="28"/>
      <c r="G126" s="28"/>
      <c r="H126" s="37"/>
      <c r="I126" s="79" t="e">
        <f>D126-#REF!</f>
        <v>#REF!</v>
      </c>
    </row>
    <row r="127" spans="1:9" ht="12.75">
      <c r="A127" s="1" t="s">
        <v>60</v>
      </c>
      <c r="B127" s="28" t="e">
        <f>#REF!</f>
        <v>#REF!</v>
      </c>
      <c r="C127" s="28"/>
      <c r="D127" s="28">
        <v>19581</v>
      </c>
      <c r="E127" s="28"/>
      <c r="F127" s="28"/>
      <c r="G127" s="28"/>
      <c r="H127" s="37"/>
      <c r="I127" s="79" t="e">
        <f>D127-#REF!</f>
        <v>#REF!</v>
      </c>
    </row>
    <row r="128" spans="1:9" ht="12.75">
      <c r="A128" s="3" t="s">
        <v>99</v>
      </c>
      <c r="B128" s="40">
        <f>B129+B130</f>
        <v>0</v>
      </c>
      <c r="C128" s="40"/>
      <c r="D128" s="40">
        <v>0</v>
      </c>
      <c r="E128" s="40"/>
      <c r="F128" s="40"/>
      <c r="G128" s="40"/>
      <c r="H128" s="42"/>
      <c r="I128" s="79" t="e">
        <f>D128-#REF!</f>
        <v>#REF!</v>
      </c>
    </row>
    <row r="129" spans="1:9" ht="12.75">
      <c r="A129" s="2" t="s">
        <v>100</v>
      </c>
      <c r="B129" s="38">
        <v>0</v>
      </c>
      <c r="C129" s="38"/>
      <c r="D129" s="38">
        <v>0</v>
      </c>
      <c r="E129" s="38"/>
      <c r="F129" s="38"/>
      <c r="G129" s="38"/>
      <c r="H129" s="39"/>
      <c r="I129" s="79" t="e">
        <f>D129-#REF!</f>
        <v>#REF!</v>
      </c>
    </row>
    <row r="130" spans="1:9" ht="12.75">
      <c r="A130" s="2" t="s">
        <v>101</v>
      </c>
      <c r="B130" s="38">
        <v>0</v>
      </c>
      <c r="C130" s="38"/>
      <c r="D130" s="38">
        <v>0</v>
      </c>
      <c r="E130" s="38"/>
      <c r="F130" s="38"/>
      <c r="G130" s="38"/>
      <c r="H130" s="39"/>
      <c r="I130" s="79" t="e">
        <f>D130-#REF!</f>
        <v>#REF!</v>
      </c>
    </row>
    <row r="131" spans="1:9" ht="12.75">
      <c r="A131" s="16"/>
      <c r="B131" s="25"/>
      <c r="C131" s="25"/>
      <c r="D131" s="25"/>
      <c r="E131" s="25"/>
      <c r="F131" s="25"/>
      <c r="G131" s="25"/>
      <c r="H131" s="25"/>
      <c r="I131" s="25"/>
    </row>
    <row r="133" ht="12" customHeight="1">
      <c r="A133" s="22" t="s">
        <v>79</v>
      </c>
    </row>
    <row r="134" ht="12.75" customHeight="1" hidden="1"/>
    <row r="136" spans="1:9" ht="31.5">
      <c r="A136" s="72" t="s">
        <v>139</v>
      </c>
      <c r="C136" s="24" t="s">
        <v>140</v>
      </c>
      <c r="D136" s="24"/>
      <c r="E136" s="24"/>
      <c r="F136" s="24"/>
      <c r="G136" s="24"/>
      <c r="H136" s="24"/>
      <c r="I136" s="25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user11</cp:lastModifiedBy>
  <cp:lastPrinted>2022-05-12T11:05:23Z</cp:lastPrinted>
  <dcterms:created xsi:type="dcterms:W3CDTF">2010-09-10T01:16:58Z</dcterms:created>
  <dcterms:modified xsi:type="dcterms:W3CDTF">2022-05-12T11:45:15Z</dcterms:modified>
  <cp:category/>
  <cp:version/>
  <cp:contentType/>
  <cp:contentStatus/>
</cp:coreProperties>
</file>