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35" windowWidth="25260" windowHeight="6195" activeTab="10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май1" sheetId="12" state="hidden" r:id="rId12"/>
  </sheets>
  <externalReferences>
    <externalReference r:id="rId15"/>
  </externalReferences>
  <definedNames>
    <definedName name="_xlnm.Print_Titles" localSheetId="7">'август'!$4:$5</definedName>
    <definedName name="_xlnm.Print_Titles" localSheetId="3">'Апрель'!$4:$5</definedName>
    <definedName name="_xlnm.Print_Titles" localSheetId="6">'июль'!$4:$5</definedName>
    <definedName name="_xlnm.Print_Titles" localSheetId="5">'июнь'!$4:$5</definedName>
    <definedName name="_xlnm.Print_Titles" localSheetId="4">'май'!$4:$5</definedName>
    <definedName name="_xlnm.Print_Titles" localSheetId="11">'май1'!$4:$5</definedName>
    <definedName name="_xlnm.Print_Titles" localSheetId="2">'март'!$4:$5</definedName>
    <definedName name="_xlnm.Print_Titles" localSheetId="10">'ноябрь'!$4:$5</definedName>
    <definedName name="_xlnm.Print_Titles" localSheetId="9">'октябрь'!$4:$5</definedName>
    <definedName name="_xlnm.Print_Titles" localSheetId="8">'сентябрь'!$4:$5</definedName>
    <definedName name="_xlnm.Print_Titles" localSheetId="1">'Февраль'!$4:$5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<sst xmlns="http://schemas.openxmlformats.org/spreadsheetml/2006/main" count="1887" uniqueCount="200">
  <si>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</si>
  <si>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</si>
  <si>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</si>
  <si>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</si>
  <si>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</si>
  <si>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</si>
  <si>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</si>
  <si>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</si>
  <si>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</si>
  <si>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</si>
  <si>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</si>
  <si>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</si>
  <si>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</si>
  <si>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</si>
  <si>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</si>
  <si>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</si>
  <si>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</si>
  <si>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</si>
  <si>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</si>
  <si>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</si>
  <si>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</si>
  <si>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</si>
  <si>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</si>
  <si>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</si>
  <si>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</si>
  <si>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</si>
  <si>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</si>
  <si>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</si>
  <si>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</si>
  <si>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</si>
  <si>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</si>
  <si>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</si>
  <si>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</si>
  <si>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</si>
  <si>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</si>
  <si>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</si>
  <si>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</si>
  <si>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</si>
  <si>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</si>
  <si>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</si>
  <si>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</si>
  <si>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</si>
  <si>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</si>
  <si>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</si>
  <si>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</si>
  <si>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</si>
  <si>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</si>
  <si>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</si>
  <si>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</si>
  <si>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</si>
  <si>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</si>
  <si>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</si>
  <si>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</si>
  <si>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</si>
  <si>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</si>
  <si>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</si>
  <si>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</si>
  <si>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</si>
  <si>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</si>
  <si>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</si>
  <si>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</si>
  <si>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</si>
  <si>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</si>
  <si>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</si>
  <si>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</si>
  <si>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</si>
  <si>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</si>
  <si>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</si>
  <si>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</si>
  <si>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</si>
  <si>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</si>
  <si>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</si>
  <si>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</si>
  <si>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</si>
  <si>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</si>
  <si>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</si>
  <si>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</si>
  <si>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</si>
  <si>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</si>
  <si>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</si>
  <si>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</si>
  <si>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</si>
  <si>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</si>
  <si>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</si>
  <si>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</si>
  <si>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</si>
  <si>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</si>
  <si>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</si>
  <si>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</si>
  <si>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</si>
  <si>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</si>
  <si>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</si>
  <si>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</si>
  <si>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</si>
  <si>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</si>
  <si>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</si>
  <si>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</si>
  <si>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</si>
  <si>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</si>
  <si>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</si>
  <si>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</si>
  <si>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</si>
  <si>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</si>
  <si>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 xml:space="preserve">Руководитель финансового управления администрации города Минусинска </t>
  </si>
  <si>
    <t>НАЛОГОВЫЕ И НЕНАЛОГОВЫЕ ДОХОДЫ</t>
  </si>
  <si>
    <t>Дополнительное образование детей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</si>
  <si>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</si>
  <si>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</si>
  <si>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</si>
  <si>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</si>
  <si>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</si>
  <si>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</si>
  <si>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</si>
  <si>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>Прочие безвозмездные поступления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</si>
  <si>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</si>
  <si>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Охрана окружающей среды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</si>
  <si>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</si>
  <si>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</si>
  <si>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</si>
  <si>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</si>
  <si>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</si>
  <si>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</si>
  <si>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  иные межбюджетные трансферты</t>
  </si>
  <si>
    <t>Профессиональная подготовка, переподготовка и повышение квалификации</t>
  </si>
  <si>
    <t>На 01.01.2020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</si>
  <si>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(1 11 0502)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</si>
  <si>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</si>
  <si>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</si>
  <si>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</si>
  <si>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</si>
  <si>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</si>
  <si>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</si>
  <si>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</si>
  <si>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</si>
  <si>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</si>
  <si>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Платежи, уплачиваемые в целях возмещения вреда</t>
  </si>
  <si>
    <t>Факт за аналогичный период 2019 г.</t>
  </si>
  <si>
    <t>Е.В. Гейль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</si>
  <si>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 (1 11 0530)</t>
  </si>
  <si>
    <t xml:space="preserve">И.о.руководителя финансового управления администрации города Минусинска </t>
  </si>
  <si>
    <t>Е.В.Гейль</t>
  </si>
  <si>
    <t>на 01 июня 2020 года</t>
  </si>
  <si>
    <t>План за 5 мес 2020 г.</t>
  </si>
  <si>
    <t>Охрана объектов растительного и животного мира и среды их обитания</t>
  </si>
  <si>
    <t>На 01.06.2020</t>
  </si>
  <si>
    <t xml:space="preserve"> - в части суммы налога, превышающей 650 000 рублей, относящейся к части налоговой базы, превышающей 5 000 000 рублей</t>
  </si>
  <si>
    <t xml:space="preserve"> - налог, взимаемый в связи с применением упрощенной системы налогообложения</t>
  </si>
  <si>
    <t xml:space="preserve"> -плата по соглашениям об установлении сервитута в отношении земельных государственная собственность на которые не разграничена (1 11 0530)</t>
  </si>
  <si>
    <t>-</t>
  </si>
  <si>
    <t>на 01 февраля 2023 года</t>
  </si>
  <si>
    <t>ЗАДОЛЖЕННОСТЬ И ПЕРЕРАСЧЕТЫ ПО ОТМЕНЕННЫМ НАЛОГАМ, СБОРАМ И ИНЫМ ОБЯЗАТЕЛЬНЫМ ПЛАТЕЖАМ</t>
  </si>
  <si>
    <t>План за 2 мес 2023 г.</t>
  </si>
  <si>
    <t>План за 1 мес 2023 г.</t>
  </si>
  <si>
    <t>на 01 марта 2023 года</t>
  </si>
  <si>
    <t>Спорт высших достижений</t>
  </si>
  <si>
    <r>
      <t xml:space="preserve">Охрана объектов растительного и животного мира и среды их обитания </t>
    </r>
    <r>
      <rPr>
        <b/>
        <sz val="10"/>
        <rFont val="Times New Roman"/>
        <family val="1"/>
      </rPr>
      <t>и Другие вопросы в области охраны окружающей среды</t>
    </r>
  </si>
  <si>
    <t>Факт за аналогичный период 2022 г.</t>
  </si>
  <si>
    <t>На 01.02.2023</t>
  </si>
  <si>
    <t>На 01.03.2023</t>
  </si>
  <si>
    <t>На 01.01.2023</t>
  </si>
  <si>
    <t>На 01.03.2022</t>
  </si>
  <si>
    <t>На 01.02.2022</t>
  </si>
  <si>
    <t>Охрана объектов растительного и животного мира и среды их обитания и Другие вопросы в области охраны окружающей среды</t>
  </si>
  <si>
    <t>на 01 апреля 2023 года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</si>
  <si>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</si>
  <si>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Другие вопросы в области охраны окружающей среды</t>
  </si>
  <si>
    <t xml:space="preserve">Охрана объектов растительного и животного мира и среды их обитания </t>
  </si>
  <si>
    <t>На 01.04.2023</t>
  </si>
  <si>
    <t>На 01.04.2022</t>
  </si>
  <si>
    <t>План за 4 мес 2023 г.</t>
  </si>
  <si>
    <t>на 01 мая 2023 года</t>
  </si>
  <si>
    <t>На 01.05.2023</t>
  </si>
  <si>
    <t>На 01.05.2022</t>
  </si>
  <si>
    <t>на 01 июня 2023 года</t>
  </si>
  <si>
    <t>План за 5 мес 2023 г.</t>
  </si>
  <si>
    <t>На 01.06.2023</t>
  </si>
  <si>
    <t>На 01.07.2022</t>
  </si>
  <si>
    <t>на 01 июля 2023 года</t>
  </si>
  <si>
    <t>План за 6 мес 2023 г.</t>
  </si>
  <si>
    <t>На 01.07.2023</t>
  </si>
  <si>
    <t>на 01 августа 2023 года</t>
  </si>
  <si>
    <t>План за 7 мес 2023 г.</t>
  </si>
  <si>
    <t>На 01.08.2022</t>
  </si>
  <si>
    <t>На 01.08.2023</t>
  </si>
  <si>
    <t>на 01 сентября 2023 года</t>
  </si>
  <si>
    <t>План за 8 мес 2023 г.</t>
  </si>
  <si>
    <t>На 01.09.2022</t>
  </si>
  <si>
    <t>На 01.09.2023</t>
  </si>
  <si>
    <t>на 01 октября 2023 года</t>
  </si>
  <si>
    <t>План за 9 мес 2023 г.</t>
  </si>
  <si>
    <t>На 01.10.2022</t>
  </si>
  <si>
    <t>На 01.10.2023</t>
  </si>
  <si>
    <t>на 01 ноября 2023 года</t>
  </si>
  <si>
    <t>План за 10 мес 2023 г.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</si>
  <si>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</si>
  <si>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На 01.11.2022</t>
  </si>
  <si>
    <t>На 01.11.2023</t>
  </si>
  <si>
    <t>на 01 декабря 2023 года</t>
  </si>
  <si>
    <t>На 01.12.2022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</si>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</sst>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000000"/>
    <numFmt numFmtId="181" formatCode="#,##0.000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</numFmts>
  <fonts count="4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9" fontId="2" fillId="0" borderId="10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9" fontId="2" fillId="0" borderId="0" xfId="0" applyNumberFormat="1" applyFont="1" applyFill="1" applyAlignment="1">
      <alignment/>
    </xf>
    <xf numFmtId="179" fontId="1" fillId="0" borderId="0" xfId="0" applyNumberFormat="1" applyFont="1" applyFill="1" applyAlignment="1" applyProtection="1">
      <alignment/>
      <protection locked="0"/>
    </xf>
    <xf numFmtId="179" fontId="2" fillId="0" borderId="0" xfId="0" applyNumberFormat="1" applyFont="1" applyFill="1" applyAlignment="1" applyProtection="1">
      <alignment/>
      <protection locked="0"/>
    </xf>
    <xf numFmtId="178" fontId="3" fillId="0" borderId="10" xfId="0" applyNumberFormat="1" applyFont="1" applyFill="1" applyBorder="1" applyAlignment="1" applyProtection="1">
      <alignment horizontal="center" vertical="top" wrapText="1"/>
      <protection/>
    </xf>
    <xf numFmtId="178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/>
    </xf>
    <xf numFmtId="179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 applyProtection="1">
      <alignment horizontal="center"/>
      <protection locked="0"/>
    </xf>
    <xf numFmtId="179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 applyProtection="1">
      <alignment vertical="top" wrapText="1"/>
      <protection locked="0"/>
    </xf>
    <xf numFmtId="17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9" fontId="2" fillId="0" borderId="10" xfId="0" applyNumberFormat="1" applyFont="1" applyFill="1" applyBorder="1" applyAlignment="1" applyProtection="1">
      <alignment vertical="top" wrapText="1"/>
      <protection locked="0"/>
    </xf>
    <xf numFmtId="17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 applyProtection="1">
      <alignment vertical="top" wrapText="1"/>
      <protection locked="0"/>
    </xf>
    <xf numFmtId="179" fontId="2" fillId="0" borderId="10" xfId="0" applyNumberFormat="1" applyFont="1" applyFill="1" applyBorder="1" applyAlignment="1">
      <alignment horizontal="center"/>
    </xf>
    <xf numFmtId="178" fontId="3" fillId="0" borderId="15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 applyProtection="1">
      <alignment horizontal="center" vertical="top" wrapText="1"/>
      <protection/>
    </xf>
    <xf numFmtId="179" fontId="3" fillId="0" borderId="10" xfId="0" applyNumberFormat="1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>
      <alignment horizontal="justify" vertical="top" wrapText="1"/>
    </xf>
    <xf numFmtId="179" fontId="3" fillId="0" borderId="15" xfId="0" applyNumberFormat="1" applyFont="1" applyFill="1" applyBorder="1" applyAlignment="1">
      <alignment vertical="top" wrapText="1"/>
    </xf>
    <xf numFmtId="179" fontId="3" fillId="0" borderId="16" xfId="0" applyNumberFormat="1" applyFont="1" applyFill="1" applyBorder="1" applyAlignment="1">
      <alignment vertical="top" wrapText="1"/>
    </xf>
    <xf numFmtId="179" fontId="3" fillId="0" borderId="15" xfId="0" applyNumberFormat="1" applyFont="1" applyFill="1" applyBorder="1" applyAlignment="1" applyProtection="1">
      <alignment horizontal="center" vertical="top" wrapText="1"/>
      <protection/>
    </xf>
    <xf numFmtId="179" fontId="2" fillId="0" borderId="10" xfId="0" applyNumberFormat="1" applyFont="1" applyFill="1" applyBorder="1" applyAlignment="1">
      <alignment vertical="top" wrapText="1"/>
    </xf>
    <xf numFmtId="179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9" fontId="3" fillId="0" borderId="10" xfId="0" applyNumberFormat="1" applyFont="1" applyFill="1" applyBorder="1" applyAlignment="1" applyProtection="1">
      <alignment vertical="justify" wrapText="1"/>
      <protection locked="0"/>
    </xf>
    <xf numFmtId="179" fontId="3" fillId="0" borderId="10" xfId="0" applyNumberFormat="1" applyFont="1" applyFill="1" applyBorder="1" applyAlignment="1">
      <alignment vertical="top" wrapText="1"/>
    </xf>
    <xf numFmtId="179" fontId="2" fillId="0" borderId="15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 wrapText="1"/>
    </xf>
    <xf numFmtId="2" fontId="3" fillId="0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>
      <alignment horizontal="justify" vertical="top" wrapText="1"/>
    </xf>
    <xf numFmtId="178" fontId="3" fillId="0" borderId="17" xfId="0" applyNumberFormat="1" applyFont="1" applyFill="1" applyBorder="1" applyAlignment="1">
      <alignment horizontal="center" vertical="top" wrapText="1"/>
    </xf>
    <xf numFmtId="178" fontId="3" fillId="0" borderId="17" xfId="0" applyNumberFormat="1" applyFont="1" applyFill="1" applyBorder="1" applyAlignment="1" applyProtection="1">
      <alignment horizontal="center" vertical="top" wrapText="1"/>
      <protection/>
    </xf>
    <xf numFmtId="178" fontId="3" fillId="0" borderId="18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7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78" fontId="3" fillId="0" borderId="10" xfId="0" applyNumberFormat="1" applyFont="1" applyFill="1" applyBorder="1" applyAlignment="1" applyProtection="1">
      <alignment horizontal="center" wrapText="1"/>
      <protection/>
    </xf>
    <xf numFmtId="178" fontId="2" fillId="0" borderId="10" xfId="0" applyNumberFormat="1" applyFont="1" applyFill="1" applyBorder="1" applyAlignment="1">
      <alignment horizontal="center" wrapText="1"/>
    </xf>
    <xf numFmtId="4" fontId="10" fillId="0" borderId="19" xfId="53" applyNumberFormat="1" applyFont="1" applyBorder="1" applyAlignment="1" applyProtection="1">
      <alignment horizontal="right" vertical="center" wrapText="1"/>
      <protection/>
    </xf>
    <xf numFmtId="49" fontId="10" fillId="0" borderId="19" xfId="54" applyNumberFormat="1" applyFont="1" applyBorder="1" applyAlignment="1" applyProtection="1">
      <alignment horizontal="left" vertical="center" wrapText="1"/>
      <protection/>
    </xf>
    <xf numFmtId="178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 applyProtection="1">
      <alignment vertical="top" wrapText="1"/>
      <protection locked="0"/>
    </xf>
    <xf numFmtId="49" fontId="10" fillId="0" borderId="19" xfId="55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>
      <alignment horizontal="center" vertical="top" wrapText="1"/>
    </xf>
    <xf numFmtId="179" fontId="2" fillId="0" borderId="0" xfId="0" applyNumberFormat="1" applyFont="1" applyFill="1" applyAlignment="1" applyProtection="1">
      <alignment horizontal="center" vertical="top"/>
      <protection locked="0"/>
    </xf>
    <xf numFmtId="179" fontId="2" fillId="0" borderId="0" xfId="0" applyNumberFormat="1" applyFont="1" applyFill="1" applyAlignment="1">
      <alignment horizontal="center" vertical="top"/>
    </xf>
    <xf numFmtId="179" fontId="2" fillId="0" borderId="0" xfId="0" applyNumberFormat="1" applyFont="1" applyFill="1" applyAlignment="1">
      <alignment horizontal="center"/>
    </xf>
    <xf numFmtId="179" fontId="2" fillId="0" borderId="0" xfId="0" applyNumberFormat="1" applyFont="1" applyFill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/>
    </xf>
    <xf numFmtId="178" fontId="2" fillId="0" borderId="10" xfId="53" applyNumberFormat="1" applyFont="1" applyFill="1" applyBorder="1" applyAlignment="1" applyProtection="1">
      <alignment horizontal="center" vertical="center" wrapText="1"/>
      <protection/>
    </xf>
    <xf numFmtId="49" fontId="2" fillId="0" borderId="10" xfId="54" applyNumberFormat="1" applyFont="1" applyFill="1" applyBorder="1" applyAlignment="1" applyProtection="1">
      <alignment horizontal="left" vertical="center" wrapText="1"/>
      <protection/>
    </xf>
    <xf numFmtId="178" fontId="2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5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" fontId="3" fillId="0" borderId="19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top"/>
    </xf>
    <xf numFmtId="178" fontId="3" fillId="0" borderId="10" xfId="0" applyNumberFormat="1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9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right"/>
    </xf>
    <xf numFmtId="179" fontId="3" fillId="0" borderId="21" xfId="0" applyNumberFormat="1" applyFont="1" applyFill="1" applyBorder="1" applyAlignment="1">
      <alignment horizontal="center" vertical="top" wrapText="1"/>
    </xf>
    <xf numFmtId="179" fontId="3" fillId="0" borderId="0" xfId="0" applyNumberFormat="1" applyFont="1" applyFill="1" applyBorder="1" applyAlignment="1">
      <alignment horizontal="center" vertical="top" wrapText="1"/>
    </xf>
    <xf numFmtId="179" fontId="2" fillId="0" borderId="2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  <protection locked="0"/>
    </xf>
    <xf numFmtId="179" fontId="3" fillId="0" borderId="10" xfId="0" applyNumberFormat="1" applyFont="1" applyFill="1" applyBorder="1" applyAlignment="1">
      <alignment horizontal="center" vertical="top" wrapText="1"/>
    </xf>
    <xf numFmtId="179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евраль" xfId="53"/>
    <cellStyle name="Обычный_Февраль_1" xfId="54"/>
    <cellStyle name="Обычный_Январь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5\bux\2022%20&#1075;&#1086;&#1076;\&#1057;&#1072;&#1081;&#1090;\&#1043;&#1054;&#1058;&#1054;&#1042;&#1054;\&#1056;&#1072;&#1089;&#1093;&#1086;&#1076;&#1099;%20&#1085;&#1072;%2001.05.2022\&#1076;&#1086;&#1093;&#1086;&#1076;&#1099;-&#1088;&#1072;&#1089;&#1093;&#1086;&#1076;&#1099;%20&#1085;&#1072;%2001.05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1"/>
    </sheetNames>
    <sheetDataSet>
      <sheetData sheetId="3">
        <row r="7">
          <cell r="D7">
            <v>221241.6</v>
          </cell>
        </row>
        <row r="8">
          <cell r="D8">
            <v>126230.90000000002</v>
          </cell>
        </row>
        <row r="9">
          <cell r="D9">
            <v>2223.1</v>
          </cell>
        </row>
        <row r="10">
          <cell r="D10">
            <v>124007.80000000002</v>
          </cell>
        </row>
        <row r="11">
          <cell r="D11">
            <v>73871.1</v>
          </cell>
        </row>
        <row r="12">
          <cell r="D12">
            <v>867.9</v>
          </cell>
        </row>
        <row r="13">
          <cell r="D13">
            <v>1510.6</v>
          </cell>
        </row>
        <row r="14">
          <cell r="D14">
            <v>1181.1</v>
          </cell>
        </row>
        <row r="15">
          <cell r="D15">
            <v>46577.1</v>
          </cell>
        </row>
        <row r="16">
          <cell r="D16">
            <v>17999.9</v>
          </cell>
        </row>
        <row r="17">
          <cell r="D17">
            <v>8785.5</v>
          </cell>
        </row>
        <row r="18">
          <cell r="D18">
            <v>60.3</v>
          </cell>
        </row>
        <row r="19">
          <cell r="D19">
            <v>10425.9</v>
          </cell>
        </row>
        <row r="20">
          <cell r="D20">
            <v>-1271.9</v>
          </cell>
        </row>
        <row r="21">
          <cell r="D21">
            <v>46749.100000000006</v>
          </cell>
        </row>
        <row r="22">
          <cell r="D22">
            <v>35948.5</v>
          </cell>
        </row>
        <row r="23">
          <cell r="D23">
            <v>57.4</v>
          </cell>
        </row>
        <row r="24">
          <cell r="D24">
            <v>536.8</v>
          </cell>
        </row>
        <row r="25">
          <cell r="D25">
            <v>10206.4</v>
          </cell>
        </row>
        <row r="26">
          <cell r="D26">
            <v>6167.3</v>
          </cell>
        </row>
        <row r="27">
          <cell r="D27">
            <v>2496.5</v>
          </cell>
        </row>
        <row r="28">
          <cell r="D28">
            <v>3670.8</v>
          </cell>
        </row>
        <row r="29">
          <cell r="D29">
            <v>5111.099999999999</v>
          </cell>
        </row>
        <row r="30">
          <cell r="D30">
            <v>5061.9</v>
          </cell>
        </row>
        <row r="31">
          <cell r="D31">
            <v>19.2</v>
          </cell>
        </row>
        <row r="32">
          <cell r="D32">
            <v>30</v>
          </cell>
        </row>
        <row r="33">
          <cell r="D33">
            <v>0.02</v>
          </cell>
        </row>
        <row r="34">
          <cell r="D34">
            <v>0.02</v>
          </cell>
        </row>
        <row r="35">
          <cell r="D35">
            <v>0</v>
          </cell>
        </row>
        <row r="36">
          <cell r="D36">
            <v>16357.699999999997</v>
          </cell>
        </row>
        <row r="38">
          <cell r="D38">
            <v>9989.9</v>
          </cell>
        </row>
        <row r="39">
          <cell r="D39">
            <v>926.9</v>
          </cell>
        </row>
        <row r="40">
          <cell r="D40">
            <v>70.9</v>
          </cell>
        </row>
        <row r="41">
          <cell r="D41">
            <v>4400.2</v>
          </cell>
        </row>
        <row r="42">
          <cell r="D42">
            <v>0</v>
          </cell>
        </row>
        <row r="43">
          <cell r="D43">
            <v>105.5</v>
          </cell>
        </row>
        <row r="44">
          <cell r="D44">
            <v>864.3</v>
          </cell>
        </row>
        <row r="45">
          <cell r="D45">
            <v>382.5</v>
          </cell>
        </row>
        <row r="46">
          <cell r="D46">
            <v>432.6</v>
          </cell>
        </row>
        <row r="47">
          <cell r="D47">
            <v>696.6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696.6</v>
          </cell>
        </row>
        <row r="51">
          <cell r="D51">
            <v>1113.9</v>
          </cell>
        </row>
        <row r="62">
          <cell r="D62">
            <v>0</v>
          </cell>
        </row>
        <row r="63">
          <cell r="D63">
            <v>221241.60000000003</v>
          </cell>
        </row>
        <row r="64">
          <cell r="D64">
            <v>528832.2999999999</v>
          </cell>
        </row>
        <row r="65">
          <cell r="D65">
            <v>547205.2</v>
          </cell>
        </row>
        <row r="66">
          <cell r="D66">
            <v>136055.8</v>
          </cell>
        </row>
        <row r="67">
          <cell r="D67">
            <v>101936.4</v>
          </cell>
        </row>
        <row r="68">
          <cell r="D68">
            <v>297190</v>
          </cell>
        </row>
        <row r="69">
          <cell r="D69">
            <v>12023</v>
          </cell>
        </row>
        <row r="70">
          <cell r="D70">
            <v>0</v>
          </cell>
        </row>
        <row r="71">
          <cell r="D71">
            <v>-18372.9</v>
          </cell>
        </row>
        <row r="72">
          <cell r="D72">
            <v>750073.8999999999</v>
          </cell>
        </row>
        <row r="78">
          <cell r="D78">
            <v>41910.9</v>
          </cell>
        </row>
        <row r="79">
          <cell r="D79">
            <v>684</v>
          </cell>
        </row>
        <row r="80">
          <cell r="D80">
            <v>2007.4</v>
          </cell>
        </row>
        <row r="81">
          <cell r="D81">
            <v>18836.4</v>
          </cell>
        </row>
        <row r="82">
          <cell r="D82">
            <v>170</v>
          </cell>
        </row>
        <row r="83">
          <cell r="D83">
            <v>4585.8</v>
          </cell>
        </row>
        <row r="84">
          <cell r="D84">
            <v>0</v>
          </cell>
        </row>
        <row r="85">
          <cell r="D85">
            <v>0</v>
          </cell>
        </row>
        <row r="86">
          <cell r="D86">
            <v>15627.3</v>
          </cell>
        </row>
        <row r="87">
          <cell r="D87">
            <v>126.4</v>
          </cell>
        </row>
        <row r="88">
          <cell r="D88">
            <v>1569.3</v>
          </cell>
        </row>
        <row r="89">
          <cell r="D89">
            <v>20692.800000000003</v>
          </cell>
        </row>
        <row r="92">
          <cell r="D92">
            <v>6872.5</v>
          </cell>
        </row>
        <row r="93">
          <cell r="D93">
            <v>9994.4</v>
          </cell>
        </row>
        <row r="94">
          <cell r="D94">
            <v>3825.9</v>
          </cell>
        </row>
        <row r="95">
          <cell r="D95">
            <v>18527.8</v>
          </cell>
        </row>
        <row r="96">
          <cell r="D96">
            <v>0</v>
          </cell>
        </row>
        <row r="97">
          <cell r="D97">
            <v>63.2</v>
          </cell>
        </row>
        <row r="98">
          <cell r="D98">
            <v>10115.8</v>
          </cell>
        </row>
        <row r="99">
          <cell r="D99">
            <v>8348.8</v>
          </cell>
        </row>
        <row r="100">
          <cell r="D100">
            <v>308.1</v>
          </cell>
        </row>
        <row r="101">
          <cell r="D101">
            <v>308.1</v>
          </cell>
        </row>
        <row r="102">
          <cell r="D102">
            <v>446811.4</v>
          </cell>
        </row>
        <row r="103">
          <cell r="D103">
            <v>176107.5</v>
          </cell>
        </row>
        <row r="104">
          <cell r="D104">
            <v>173333.1</v>
          </cell>
        </row>
        <row r="105">
          <cell r="D105">
            <v>40195.7</v>
          </cell>
        </row>
        <row r="106">
          <cell r="D106">
            <v>131.7</v>
          </cell>
        </row>
        <row r="107">
          <cell r="D107">
            <v>8065</v>
          </cell>
        </row>
        <row r="108">
          <cell r="D108">
            <v>48978.4</v>
          </cell>
        </row>
        <row r="109">
          <cell r="D109">
            <v>42754.899999999994</v>
          </cell>
        </row>
        <row r="110">
          <cell r="D110">
            <v>41930.2</v>
          </cell>
        </row>
        <row r="111">
          <cell r="D111">
            <v>824.7</v>
          </cell>
        </row>
        <row r="112">
          <cell r="D112">
            <v>0</v>
          </cell>
        </row>
        <row r="113">
          <cell r="D113">
            <v>0</v>
          </cell>
        </row>
        <row r="114">
          <cell r="D114">
            <v>29512</v>
          </cell>
        </row>
        <row r="115">
          <cell r="D115">
            <v>647.2</v>
          </cell>
        </row>
        <row r="116">
          <cell r="D116">
            <v>0</v>
          </cell>
        </row>
        <row r="117">
          <cell r="D117">
            <v>25168.8</v>
          </cell>
        </row>
        <row r="118">
          <cell r="D118">
            <v>3103.5</v>
          </cell>
        </row>
        <row r="119">
          <cell r="D119">
            <v>592.5</v>
          </cell>
        </row>
        <row r="120">
          <cell r="D120">
            <v>85432.3</v>
          </cell>
        </row>
        <row r="121">
          <cell r="D121">
            <v>23255.2</v>
          </cell>
        </row>
        <row r="122">
          <cell r="D122">
            <v>60808.9</v>
          </cell>
        </row>
        <row r="123">
          <cell r="D123">
            <v>1368.2</v>
          </cell>
        </row>
        <row r="124">
          <cell r="D124">
            <v>2.01384</v>
          </cell>
        </row>
        <row r="125">
          <cell r="D125">
            <v>2.01384</v>
          </cell>
        </row>
        <row r="126">
          <cell r="D126">
            <v>687647.9138400002</v>
          </cell>
        </row>
        <row r="127">
          <cell r="D127">
            <v>62425.98615999974</v>
          </cell>
        </row>
        <row r="129">
          <cell r="D129">
            <v>93247.5</v>
          </cell>
        </row>
        <row r="131">
          <cell r="D131">
            <v>60071.5</v>
          </cell>
        </row>
        <row r="132">
          <cell r="D132">
            <v>33176</v>
          </cell>
        </row>
        <row r="133">
          <cell r="D133">
            <v>-12050</v>
          </cell>
        </row>
        <row r="134">
          <cell r="D134" t="str">
            <v>-</v>
          </cell>
        </row>
        <row r="135">
          <cell r="D135">
            <v>12050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zoomScalePageLayoutView="0" workbookViewId="0" topLeftCell="A1">
      <pane xSplit="1" ySplit="6" topLeftCell="B12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38" sqref="D138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22" customWidth="1"/>
    <col min="8" max="8" width="11.875" style="22" customWidth="1"/>
    <col min="9" max="9" width="10.00390625" style="22" customWidth="1"/>
    <col min="10" max="16384" width="9.125" style="21" customWidth="1"/>
  </cols>
  <sheetData>
    <row r="1" spans="1:9" ht="15">
      <c r="A1" s="111" t="s">
        <v>102</v>
      </c>
      <c r="B1" s="111"/>
      <c r="C1" s="111"/>
      <c r="D1" s="111"/>
      <c r="E1" s="111"/>
      <c r="F1" s="111"/>
      <c r="G1" s="111"/>
      <c r="H1" s="111"/>
      <c r="I1" s="29"/>
    </row>
    <row r="2" spans="1:9" ht="15">
      <c r="A2" s="112" t="s">
        <v>149</v>
      </c>
      <c r="B2" s="112"/>
      <c r="C2" s="112"/>
      <c r="D2" s="112"/>
      <c r="E2" s="112"/>
      <c r="F2" s="112"/>
      <c r="G2" s="112"/>
      <c r="H2" s="112"/>
      <c r="I2" s="30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1"/>
    </row>
    <row r="4" spans="1:9" ht="45" customHeight="1">
      <c r="A4" s="4" t="s">
        <v>1</v>
      </c>
      <c r="B4" s="17" t="s">
        <v>2</v>
      </c>
      <c r="C4" s="17" t="s">
        <v>152</v>
      </c>
      <c r="D4" s="17" t="s">
        <v>68</v>
      </c>
      <c r="E4" s="17" t="s">
        <v>66</v>
      </c>
      <c r="F4" s="17" t="s">
        <v>69</v>
      </c>
      <c r="G4" s="17" t="s">
        <v>156</v>
      </c>
      <c r="H4" s="18" t="s">
        <v>65</v>
      </c>
      <c r="I4" s="17" t="s">
        <v>71</v>
      </c>
    </row>
    <row r="5" spans="1:9" ht="13.5" thickBot="1">
      <c r="A5" s="6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20">
        <v>8</v>
      </c>
      <c r="I5" s="32">
        <v>9</v>
      </c>
    </row>
    <row r="6" spans="1:9" ht="12.75">
      <c r="A6" s="114" t="s">
        <v>3</v>
      </c>
      <c r="B6" s="115"/>
      <c r="C6" s="115"/>
      <c r="D6" s="115"/>
      <c r="E6" s="115"/>
      <c r="F6" s="115"/>
      <c r="G6" s="115"/>
      <c r="H6" s="115"/>
      <c r="I6" s="116"/>
    </row>
    <row r="7" spans="1:9" ht="12.75">
      <c r="A7" s="46" t="s">
        <v>104</v>
      </c>
      <c r="B7" s="33">
        <f>B8+B16+B21+B26+B29+B37+B46+B47+B48+B52+B63</f>
        <v>718032.66</v>
      </c>
      <c r="C7" s="33">
        <f>C8+C16+C21+C26+C29+C37+C46+C47+C48+C52+C63</f>
        <v>20087.34</v>
      </c>
      <c r="D7" s="33">
        <f>D8+D16+D21+D26+D29+D37+D46+D47+D48+D52+D63+D36</f>
        <v>25873.099999999995</v>
      </c>
      <c r="E7" s="25">
        <f>D7/B7*100</f>
        <v>3.603331915291986</v>
      </c>
      <c r="F7" s="25">
        <v>27699.089999999997</v>
      </c>
      <c r="G7" s="33">
        <f>G8+G16+G21+G26+G29</f>
        <v>30541.34192</v>
      </c>
      <c r="H7" s="25">
        <f>C7/G7*100</f>
        <v>65.77098037347797</v>
      </c>
      <c r="I7" s="33">
        <f>D7</f>
        <v>25873.099999999995</v>
      </c>
    </row>
    <row r="8" spans="1:9" ht="12.75">
      <c r="A8" s="47" t="s">
        <v>4</v>
      </c>
      <c r="B8" s="25">
        <f>B9+B10</f>
        <v>365325.60000000003</v>
      </c>
      <c r="C8" s="25">
        <f>C9+C10</f>
        <v>7415</v>
      </c>
      <c r="D8" s="25">
        <f>D9+D10</f>
        <v>18698.32</v>
      </c>
      <c r="E8" s="25">
        <f aca="true" t="shared" si="0" ref="E8:E72">D8/B8*100</f>
        <v>5.118261627435908</v>
      </c>
      <c r="F8" s="25">
        <v>10645.39</v>
      </c>
      <c r="G8" s="25">
        <f>G9+G10</f>
        <v>16918.55102</v>
      </c>
      <c r="H8" s="25">
        <f aca="true" t="shared" si="1" ref="H8:H72">C8/G8*100</f>
        <v>43.827630340414345</v>
      </c>
      <c r="I8" s="33">
        <f aca="true" t="shared" si="2" ref="I8:I72">D8</f>
        <v>18698.32</v>
      </c>
    </row>
    <row r="9" spans="1:9" ht="25.5">
      <c r="A9" s="48" t="s">
        <v>5</v>
      </c>
      <c r="B9" s="27">
        <v>8631</v>
      </c>
      <c r="C9" s="27">
        <v>250</v>
      </c>
      <c r="D9" s="27">
        <v>540.24</v>
      </c>
      <c r="E9" s="27">
        <f t="shared" si="0"/>
        <v>6.259297879735836</v>
      </c>
      <c r="F9" s="25">
        <v>200.86</v>
      </c>
      <c r="G9" s="27">
        <f>506536.75/1000</f>
        <v>506.53675</v>
      </c>
      <c r="H9" s="25">
        <f t="shared" si="1"/>
        <v>49.35476053810508</v>
      </c>
      <c r="I9" s="27">
        <f t="shared" si="2"/>
        <v>540.24</v>
      </c>
    </row>
    <row r="10" spans="1:9" ht="12.75" customHeight="1">
      <c r="A10" s="49" t="s">
        <v>70</v>
      </c>
      <c r="B10" s="42">
        <f>SUM(B11:B15)</f>
        <v>356694.60000000003</v>
      </c>
      <c r="C10" s="42">
        <f>SUM(C11:C15)</f>
        <v>7165</v>
      </c>
      <c r="D10" s="42">
        <f>SUM(D11:D15)</f>
        <v>18158.079999999998</v>
      </c>
      <c r="E10" s="25">
        <f t="shared" si="0"/>
        <v>5.090651778860682</v>
      </c>
      <c r="F10" s="25">
        <v>10444.529999999999</v>
      </c>
      <c r="G10" s="42">
        <f>SUM(G11:G15)</f>
        <v>16412.01427</v>
      </c>
      <c r="H10" s="25">
        <f t="shared" si="1"/>
        <v>43.65704222605456</v>
      </c>
      <c r="I10" s="33">
        <f t="shared" si="2"/>
        <v>18158.079999999998</v>
      </c>
    </row>
    <row r="11" spans="1:9" ht="51">
      <c r="A11" s="51" t="s">
        <v>74</v>
      </c>
      <c r="B11" s="27">
        <v>336860.2</v>
      </c>
      <c r="C11" s="27">
        <v>5000</v>
      </c>
      <c r="D11" s="27">
        <v>18380.36</v>
      </c>
      <c r="E11" s="27">
        <f t="shared" si="0"/>
        <v>5.456376265287499</v>
      </c>
      <c r="F11" s="27">
        <v>10058</v>
      </c>
      <c r="G11" s="27">
        <f>10829327.5/1000</f>
        <v>10829.3275</v>
      </c>
      <c r="H11" s="25">
        <f t="shared" si="1"/>
        <v>46.17091873895217</v>
      </c>
      <c r="I11" s="27">
        <f t="shared" si="2"/>
        <v>18380.36</v>
      </c>
    </row>
    <row r="12" spans="1:9" ht="51" customHeight="1">
      <c r="A12" s="51" t="s">
        <v>75</v>
      </c>
      <c r="B12" s="27">
        <v>1745</v>
      </c>
      <c r="C12" s="27">
        <v>35</v>
      </c>
      <c r="D12" s="27">
        <v>-205.49</v>
      </c>
      <c r="E12" s="27">
        <f t="shared" si="0"/>
        <v>-11.775931232091692</v>
      </c>
      <c r="F12" s="27">
        <v>81.56</v>
      </c>
      <c r="G12" s="27">
        <f>71132.83/1000</f>
        <v>71.13283</v>
      </c>
      <c r="H12" s="25">
        <f t="shared" si="1"/>
        <v>49.20372210693712</v>
      </c>
      <c r="I12" s="27">
        <f t="shared" si="2"/>
        <v>-205.49</v>
      </c>
    </row>
    <row r="13" spans="1:9" ht="25.5">
      <c r="A13" s="51" t="s">
        <v>76</v>
      </c>
      <c r="B13" s="27">
        <v>5600.4</v>
      </c>
      <c r="C13" s="27">
        <v>30</v>
      </c>
      <c r="D13" s="27">
        <v>-254.97</v>
      </c>
      <c r="E13" s="27">
        <f t="shared" si="0"/>
        <v>-4.552710520677095</v>
      </c>
      <c r="F13" s="27">
        <v>117.15</v>
      </c>
      <c r="G13" s="27">
        <f>62006.21/1000</f>
        <v>62.006209999999996</v>
      </c>
      <c r="H13" s="25">
        <f t="shared" si="1"/>
        <v>48.38225074553017</v>
      </c>
      <c r="I13" s="27">
        <f t="shared" si="2"/>
        <v>-254.97</v>
      </c>
    </row>
    <row r="14" spans="1:9" ht="63.75">
      <c r="A14" s="51" t="s">
        <v>78</v>
      </c>
      <c r="B14" s="27">
        <v>3850</v>
      </c>
      <c r="C14" s="27">
        <v>100</v>
      </c>
      <c r="D14" s="27">
        <v>180.03</v>
      </c>
      <c r="E14" s="27">
        <f t="shared" si="0"/>
        <v>4.676103896103896</v>
      </c>
      <c r="F14" s="27">
        <v>187.82</v>
      </c>
      <c r="G14" s="27">
        <f>203387.85/1000</f>
        <v>203.38785000000001</v>
      </c>
      <c r="H14" s="25">
        <f t="shared" si="1"/>
        <v>49.167145431745304</v>
      </c>
      <c r="I14" s="27">
        <f t="shared" si="2"/>
        <v>180.03</v>
      </c>
    </row>
    <row r="15" spans="1:9" ht="37.5" customHeight="1">
      <c r="A15" s="51" t="s">
        <v>145</v>
      </c>
      <c r="B15" s="27">
        <v>8639</v>
      </c>
      <c r="C15" s="27">
        <v>2000</v>
      </c>
      <c r="D15" s="27">
        <f>-0.35+58.5</f>
        <v>58.15</v>
      </c>
      <c r="E15" s="27">
        <f t="shared" si="0"/>
        <v>0.6731103136937145</v>
      </c>
      <c r="F15" s="27"/>
      <c r="G15" s="27">
        <f>5246159.88/1000</f>
        <v>5246.15988</v>
      </c>
      <c r="H15" s="25">
        <f t="shared" si="1"/>
        <v>38.123123308243514</v>
      </c>
      <c r="I15" s="27">
        <f t="shared" si="2"/>
        <v>58.15</v>
      </c>
    </row>
    <row r="16" spans="1:9" ht="39.75" customHeight="1">
      <c r="A16" s="53" t="s">
        <v>82</v>
      </c>
      <c r="B16" s="26">
        <f>SUM(B17:B20)</f>
        <v>59089.46000000001</v>
      </c>
      <c r="C16" s="26">
        <f>SUM(C17:C20)</f>
        <v>3350</v>
      </c>
      <c r="D16" s="26">
        <f>SUM(D17:D20)</f>
        <v>2539.2900000000004</v>
      </c>
      <c r="E16" s="25">
        <f t="shared" si="0"/>
        <v>4.2973653846218935</v>
      </c>
      <c r="F16" s="25">
        <v>1853.18</v>
      </c>
      <c r="G16" s="26">
        <f>SUM(G17:G20)</f>
        <v>5206.58843</v>
      </c>
      <c r="H16" s="25">
        <f t="shared" si="1"/>
        <v>64.34155580067619</v>
      </c>
      <c r="I16" s="33">
        <f t="shared" si="2"/>
        <v>2539.2900000000004</v>
      </c>
    </row>
    <row r="17" spans="1:9" ht="37.5" customHeight="1">
      <c r="A17" s="37" t="s">
        <v>83</v>
      </c>
      <c r="B17" s="27">
        <v>27987.73</v>
      </c>
      <c r="C17" s="27">
        <v>1500</v>
      </c>
      <c r="D17" s="27">
        <v>1103.7</v>
      </c>
      <c r="E17" s="27">
        <f t="shared" si="0"/>
        <v>3.943513818376839</v>
      </c>
      <c r="F17" s="27">
        <v>844.23</v>
      </c>
      <c r="G17" s="27">
        <f>2392168.44/1000</f>
        <v>2392.16844</v>
      </c>
      <c r="H17" s="25">
        <f t="shared" si="1"/>
        <v>62.7046145630113</v>
      </c>
      <c r="I17" s="27">
        <f t="shared" si="2"/>
        <v>1103.7</v>
      </c>
    </row>
    <row r="18" spans="1:9" ht="56.25" customHeight="1">
      <c r="A18" s="37" t="s">
        <v>84</v>
      </c>
      <c r="B18" s="27">
        <v>194.4</v>
      </c>
      <c r="C18" s="27">
        <v>10</v>
      </c>
      <c r="D18" s="27">
        <v>2.38</v>
      </c>
      <c r="E18" s="27">
        <f t="shared" si="0"/>
        <v>1.2242798353909463</v>
      </c>
      <c r="F18" s="27">
        <v>5.74</v>
      </c>
      <c r="G18" s="27">
        <f>14077.8/1000</f>
        <v>14.0778</v>
      </c>
      <c r="H18" s="25">
        <f t="shared" si="1"/>
        <v>71.03382630808791</v>
      </c>
      <c r="I18" s="27">
        <f t="shared" si="2"/>
        <v>2.38</v>
      </c>
    </row>
    <row r="19" spans="1:9" ht="55.5" customHeight="1">
      <c r="A19" s="37" t="s">
        <v>85</v>
      </c>
      <c r="B19" s="27">
        <v>34598.53</v>
      </c>
      <c r="C19" s="27">
        <v>2000</v>
      </c>
      <c r="D19" s="27">
        <v>1564.35</v>
      </c>
      <c r="E19" s="27">
        <f t="shared" si="0"/>
        <v>4.521434870209803</v>
      </c>
      <c r="F19" s="27">
        <v>1158.41</v>
      </c>
      <c r="G19" s="27">
        <f>2959715.18/1000</f>
        <v>2959.71518</v>
      </c>
      <c r="H19" s="25">
        <f t="shared" si="1"/>
        <v>67.57406974545435</v>
      </c>
      <c r="I19" s="27">
        <f t="shared" si="2"/>
        <v>1564.35</v>
      </c>
    </row>
    <row r="20" spans="1:9" ht="15.75" customHeight="1">
      <c r="A20" s="37" t="s">
        <v>86</v>
      </c>
      <c r="B20" s="27">
        <v>-3691.2</v>
      </c>
      <c r="C20" s="27">
        <v>-160</v>
      </c>
      <c r="D20" s="27">
        <v>-131.14</v>
      </c>
      <c r="E20" s="27">
        <f t="shared" si="0"/>
        <v>3.552774165583008</v>
      </c>
      <c r="F20" s="27">
        <v>-155.2</v>
      </c>
      <c r="G20" s="27">
        <f>-159372.99/1000</f>
        <v>-159.37299</v>
      </c>
      <c r="H20" s="25">
        <f t="shared" si="1"/>
        <v>100.393423000974</v>
      </c>
      <c r="I20" s="27">
        <f t="shared" si="2"/>
        <v>-131.14</v>
      </c>
    </row>
    <row r="21" spans="1:9" ht="12.75">
      <c r="A21" s="54" t="s">
        <v>7</v>
      </c>
      <c r="B21" s="26">
        <f>SUM(B22:B25)</f>
        <v>148961.30000000002</v>
      </c>
      <c r="C21" s="26">
        <f>SUM(C22:C25)</f>
        <v>3000</v>
      </c>
      <c r="D21" s="26">
        <f>SUM(D22:D25)</f>
        <v>2950.54</v>
      </c>
      <c r="E21" s="25">
        <f t="shared" si="0"/>
        <v>1.9807426492652787</v>
      </c>
      <c r="F21" s="25">
        <v>7362.96</v>
      </c>
      <c r="G21" s="26">
        <f>SUM(G22:G25)</f>
        <v>5984.851520000002</v>
      </c>
      <c r="H21" s="25">
        <f t="shared" si="1"/>
        <v>50.12655685733702</v>
      </c>
      <c r="I21" s="33">
        <f t="shared" si="2"/>
        <v>2950.54</v>
      </c>
    </row>
    <row r="22" spans="1:9" ht="28.5" customHeight="1">
      <c r="A22" s="51" t="s">
        <v>146</v>
      </c>
      <c r="B22" s="27">
        <v>116885.1</v>
      </c>
      <c r="C22" s="27">
        <v>2500</v>
      </c>
      <c r="D22" s="27">
        <v>2278.01</v>
      </c>
      <c r="E22" s="27">
        <f t="shared" si="0"/>
        <v>1.9489310442477272</v>
      </c>
      <c r="F22" s="27"/>
      <c r="G22" s="27">
        <f>4635050.98/1000</f>
        <v>4635.050980000001</v>
      </c>
      <c r="H22" s="25">
        <f t="shared" si="1"/>
        <v>53.93683933116091</v>
      </c>
      <c r="I22" s="27">
        <f t="shared" si="2"/>
        <v>2278.01</v>
      </c>
    </row>
    <row r="23" spans="1:9" ht="19.5" customHeight="1">
      <c r="A23" s="51" t="s">
        <v>89</v>
      </c>
      <c r="B23" s="27">
        <v>0</v>
      </c>
      <c r="C23" s="27">
        <v>0</v>
      </c>
      <c r="D23" s="27">
        <v>-792.63</v>
      </c>
      <c r="E23" s="27" t="s">
        <v>148</v>
      </c>
      <c r="F23" s="27">
        <v>7198.75</v>
      </c>
      <c r="G23" s="27">
        <f>35866.93/1000</f>
        <v>35.86693</v>
      </c>
      <c r="H23" s="25">
        <f t="shared" si="1"/>
        <v>0</v>
      </c>
      <c r="I23" s="27">
        <f t="shared" si="2"/>
        <v>-792.63</v>
      </c>
    </row>
    <row r="24" spans="1:9" ht="15" customHeight="1">
      <c r="A24" s="51" t="s">
        <v>87</v>
      </c>
      <c r="B24" s="27">
        <v>715</v>
      </c>
      <c r="C24" s="27">
        <v>0</v>
      </c>
      <c r="D24" s="27">
        <v>0</v>
      </c>
      <c r="E24" s="27">
        <f t="shared" si="0"/>
        <v>0</v>
      </c>
      <c r="F24" s="27">
        <v>113.58</v>
      </c>
      <c r="G24" s="27">
        <f>127520/1000</f>
        <v>127.52</v>
      </c>
      <c r="H24" s="25">
        <f t="shared" si="1"/>
        <v>0</v>
      </c>
      <c r="I24" s="27">
        <f t="shared" si="2"/>
        <v>0</v>
      </c>
    </row>
    <row r="25" spans="1:9" ht="27" customHeight="1">
      <c r="A25" s="51" t="s">
        <v>88</v>
      </c>
      <c r="B25" s="27">
        <v>31361.2</v>
      </c>
      <c r="C25" s="27">
        <v>500</v>
      </c>
      <c r="D25" s="27">
        <v>1465.16</v>
      </c>
      <c r="E25" s="27">
        <f t="shared" si="0"/>
        <v>4.6718875553231385</v>
      </c>
      <c r="F25" s="27">
        <v>50.63</v>
      </c>
      <c r="G25" s="27">
        <f>1186413.61/1000</f>
        <v>1186.41361</v>
      </c>
      <c r="H25" s="25">
        <f t="shared" si="1"/>
        <v>42.14381862999701</v>
      </c>
      <c r="I25" s="27">
        <f t="shared" si="2"/>
        <v>1465.16</v>
      </c>
    </row>
    <row r="26" spans="1:9" ht="12.75">
      <c r="A26" s="54" t="s">
        <v>8</v>
      </c>
      <c r="B26" s="26">
        <f>SUM(B27:B28)</f>
        <v>42454.6</v>
      </c>
      <c r="C26" s="26">
        <f>SUM(C27:C28)</f>
        <v>650</v>
      </c>
      <c r="D26" s="26">
        <f>SUM(D27:D28)</f>
        <v>1430.4299999999998</v>
      </c>
      <c r="E26" s="25">
        <f t="shared" si="0"/>
        <v>3.3693168702566973</v>
      </c>
      <c r="F26" s="25">
        <v>2465.82</v>
      </c>
      <c r="G26" s="26">
        <f>SUM(G27:G28)</f>
        <v>1404.8256999999999</v>
      </c>
      <c r="H26" s="25">
        <f t="shared" si="1"/>
        <v>46.26908519683261</v>
      </c>
      <c r="I26" s="33">
        <f t="shared" si="2"/>
        <v>1430.4299999999998</v>
      </c>
    </row>
    <row r="27" spans="1:9" ht="12.75">
      <c r="A27" s="51" t="s">
        <v>106</v>
      </c>
      <c r="B27" s="27">
        <v>24668.5</v>
      </c>
      <c r="C27" s="27">
        <v>350</v>
      </c>
      <c r="D27" s="27">
        <v>1038.11</v>
      </c>
      <c r="E27" s="27">
        <f t="shared" si="0"/>
        <v>4.208241279364371</v>
      </c>
      <c r="F27" s="27">
        <v>536.1</v>
      </c>
      <c r="G27" s="27">
        <f>777295.01/1000</f>
        <v>777.29501</v>
      </c>
      <c r="H27" s="25">
        <f t="shared" si="1"/>
        <v>45.02794891221545</v>
      </c>
      <c r="I27" s="27">
        <f t="shared" si="2"/>
        <v>1038.11</v>
      </c>
    </row>
    <row r="28" spans="1:9" ht="12.75">
      <c r="A28" s="51" t="s">
        <v>107</v>
      </c>
      <c r="B28" s="27">
        <v>17786.1</v>
      </c>
      <c r="C28" s="27">
        <v>300</v>
      </c>
      <c r="D28" s="27">
        <v>392.32</v>
      </c>
      <c r="E28" s="27">
        <f t="shared" si="0"/>
        <v>2.205767425124114</v>
      </c>
      <c r="F28" s="27">
        <v>1929.72</v>
      </c>
      <c r="G28" s="27">
        <f>627530.69/1000</f>
        <v>627.5306899999999</v>
      </c>
      <c r="H28" s="25">
        <f t="shared" si="1"/>
        <v>47.80642680599414</v>
      </c>
      <c r="I28" s="27">
        <f t="shared" si="2"/>
        <v>392.32</v>
      </c>
    </row>
    <row r="29" spans="1:9" ht="12.75">
      <c r="A29" s="47" t="s">
        <v>9</v>
      </c>
      <c r="B29" s="26">
        <f>SUM(B30:B32)</f>
        <v>15600</v>
      </c>
      <c r="C29" s="26">
        <f>SUM(C30:C32)</f>
        <v>500</v>
      </c>
      <c r="D29" s="26">
        <f>SUM(D30:D32)</f>
        <v>1151.64</v>
      </c>
      <c r="E29" s="26">
        <f t="shared" si="0"/>
        <v>7.382307692307694</v>
      </c>
      <c r="F29" s="26">
        <v>793.07</v>
      </c>
      <c r="G29" s="26">
        <f>SUM(G30:G32)</f>
        <v>1026.5252500000001</v>
      </c>
      <c r="H29" s="25">
        <f t="shared" si="1"/>
        <v>48.70800791310296</v>
      </c>
      <c r="I29" s="26">
        <f t="shared" si="2"/>
        <v>1151.64</v>
      </c>
    </row>
    <row r="30" spans="1:9" ht="25.5">
      <c r="A30" s="51" t="s">
        <v>10</v>
      </c>
      <c r="B30" s="27">
        <v>15550</v>
      </c>
      <c r="C30" s="27">
        <v>500</v>
      </c>
      <c r="D30" s="27">
        <v>1136.64</v>
      </c>
      <c r="E30" s="27">
        <f t="shared" si="0"/>
        <v>7.309581993569132</v>
      </c>
      <c r="F30" s="27">
        <v>793.07</v>
      </c>
      <c r="G30" s="27">
        <f>1014925.25/1000</f>
        <v>1014.92525</v>
      </c>
      <c r="H30" s="25">
        <f t="shared" si="1"/>
        <v>49.26471185932166</v>
      </c>
      <c r="I30" s="27">
        <f t="shared" si="2"/>
        <v>1136.64</v>
      </c>
    </row>
    <row r="31" spans="1:9" ht="25.5">
      <c r="A31" s="51" t="s">
        <v>91</v>
      </c>
      <c r="B31" s="27">
        <v>0</v>
      </c>
      <c r="C31" s="27">
        <v>0</v>
      </c>
      <c r="D31" s="27">
        <v>0</v>
      </c>
      <c r="E31" s="27" t="s">
        <v>148</v>
      </c>
      <c r="F31" s="27">
        <v>0</v>
      </c>
      <c r="G31" s="27">
        <f>1600/1000</f>
        <v>1.6</v>
      </c>
      <c r="H31" s="25">
        <f t="shared" si="1"/>
        <v>0</v>
      </c>
      <c r="I31" s="27">
        <f t="shared" si="2"/>
        <v>0</v>
      </c>
    </row>
    <row r="32" spans="1:9" ht="25.5">
      <c r="A32" s="51" t="s">
        <v>90</v>
      </c>
      <c r="B32" s="27">
        <v>50</v>
      </c>
      <c r="C32" s="27">
        <v>0</v>
      </c>
      <c r="D32" s="27">
        <v>15</v>
      </c>
      <c r="E32" s="27">
        <f t="shared" si="0"/>
        <v>30</v>
      </c>
      <c r="F32" s="27">
        <v>0</v>
      </c>
      <c r="G32" s="27">
        <f>10000/1000</f>
        <v>10</v>
      </c>
      <c r="H32" s="25">
        <f t="shared" si="1"/>
        <v>0</v>
      </c>
      <c r="I32" s="27">
        <f t="shared" si="2"/>
        <v>15</v>
      </c>
    </row>
    <row r="33" spans="1:9" ht="25.5" customHeight="1" hidden="1">
      <c r="A33" s="54" t="s">
        <v>11</v>
      </c>
      <c r="B33" s="27">
        <v>0</v>
      </c>
      <c r="C33" s="27">
        <v>0</v>
      </c>
      <c r="D33" s="27">
        <v>0.02</v>
      </c>
      <c r="E33" s="25" t="e">
        <f t="shared" si="0"/>
        <v>#DIV/0!</v>
      </c>
      <c r="F33" s="25">
        <v>0</v>
      </c>
      <c r="G33" s="27">
        <v>0.02</v>
      </c>
      <c r="H33" s="25">
        <f t="shared" si="1"/>
        <v>0</v>
      </c>
      <c r="I33" s="33">
        <f t="shared" si="2"/>
        <v>0.02</v>
      </c>
    </row>
    <row r="34" spans="1:9" ht="25.5" customHeight="1" hidden="1">
      <c r="A34" s="51" t="s">
        <v>116</v>
      </c>
      <c r="B34" s="33">
        <v>0</v>
      </c>
      <c r="C34" s="33">
        <v>0</v>
      </c>
      <c r="D34" s="33">
        <v>0.02</v>
      </c>
      <c r="E34" s="25" t="e">
        <f t="shared" si="0"/>
        <v>#DIV/0!</v>
      </c>
      <c r="F34" s="25">
        <v>0</v>
      </c>
      <c r="G34" s="33">
        <v>0.02</v>
      </c>
      <c r="H34" s="25">
        <f t="shared" si="1"/>
        <v>0</v>
      </c>
      <c r="I34" s="33">
        <f t="shared" si="2"/>
        <v>0.02</v>
      </c>
    </row>
    <row r="35" spans="1:9" ht="25.5" customHeight="1" hidden="1">
      <c r="A35" s="51" t="s">
        <v>92</v>
      </c>
      <c r="B35" s="27">
        <v>0</v>
      </c>
      <c r="C35" s="27">
        <v>0</v>
      </c>
      <c r="D35" s="27">
        <v>0</v>
      </c>
      <c r="E35" s="25" t="e">
        <f t="shared" si="0"/>
        <v>#DIV/0!</v>
      </c>
      <c r="F35" s="25">
        <v>0</v>
      </c>
      <c r="G35" s="27">
        <v>0</v>
      </c>
      <c r="H35" s="25" t="e">
        <f t="shared" si="1"/>
        <v>#DIV/0!</v>
      </c>
      <c r="I35" s="33">
        <f t="shared" si="2"/>
        <v>0</v>
      </c>
    </row>
    <row r="36" spans="1:9" ht="38.25">
      <c r="A36" s="54" t="s">
        <v>150</v>
      </c>
      <c r="B36" s="27">
        <v>0</v>
      </c>
      <c r="C36" s="27">
        <v>0</v>
      </c>
      <c r="D36" s="27">
        <v>0.41</v>
      </c>
      <c r="E36" s="25">
        <v>0</v>
      </c>
      <c r="F36" s="25"/>
      <c r="G36" s="27">
        <v>0</v>
      </c>
      <c r="H36" s="25">
        <v>0</v>
      </c>
      <c r="I36" s="33">
        <f t="shared" si="2"/>
        <v>0.41</v>
      </c>
    </row>
    <row r="37" spans="1:9" ht="39.75" customHeight="1">
      <c r="A37" s="54" t="s">
        <v>12</v>
      </c>
      <c r="B37" s="26">
        <f>SUM(B39:B45)</f>
        <v>57702.52</v>
      </c>
      <c r="C37" s="26">
        <f>SUM(C39:C45)</f>
        <v>5060.52</v>
      </c>
      <c r="D37" s="26">
        <f>SUM(D39:D45)</f>
        <v>4633.94</v>
      </c>
      <c r="E37" s="26">
        <f t="shared" si="0"/>
        <v>8.030741118412159</v>
      </c>
      <c r="F37" s="26">
        <v>3247.05</v>
      </c>
      <c r="G37" s="26">
        <f>SUM(G39:G45)</f>
        <v>3331.27835</v>
      </c>
      <c r="H37" s="25">
        <f t="shared" si="1"/>
        <v>151.90925129387642</v>
      </c>
      <c r="I37" s="26">
        <f t="shared" si="2"/>
        <v>4633.94</v>
      </c>
    </row>
    <row r="38" spans="1:9" ht="81.75" customHeight="1" hidden="1">
      <c r="A38" s="51" t="s">
        <v>114</v>
      </c>
      <c r="B38" s="27"/>
      <c r="C38" s="27"/>
      <c r="D38" s="27"/>
      <c r="E38" s="25" t="e">
        <f t="shared" si="0"/>
        <v>#DIV/0!</v>
      </c>
      <c r="F38" s="25"/>
      <c r="G38" s="27"/>
      <c r="H38" s="25" t="e">
        <f t="shared" si="1"/>
        <v>#DIV/0!</v>
      </c>
      <c r="I38" s="33">
        <f t="shared" si="2"/>
        <v>0</v>
      </c>
    </row>
    <row r="39" spans="1:9" ht="76.5">
      <c r="A39" s="51" t="s">
        <v>117</v>
      </c>
      <c r="B39" s="27">
        <v>29271.18</v>
      </c>
      <c r="C39" s="27">
        <v>2439.27</v>
      </c>
      <c r="D39" s="27">
        <v>2043.08</v>
      </c>
      <c r="E39" s="27">
        <f t="shared" si="0"/>
        <v>6.979834772633013</v>
      </c>
      <c r="F39" s="27">
        <v>2393.3</v>
      </c>
      <c r="G39" s="27">
        <f>1861737.65/1000</f>
        <v>1861.7376499999998</v>
      </c>
      <c r="H39" s="25">
        <f t="shared" si="1"/>
        <v>131.02114575595547</v>
      </c>
      <c r="I39" s="27">
        <f t="shared" si="2"/>
        <v>2043.08</v>
      </c>
    </row>
    <row r="40" spans="1:9" ht="76.5">
      <c r="A40" s="51" t="s">
        <v>125</v>
      </c>
      <c r="B40" s="27">
        <v>5434.31</v>
      </c>
      <c r="C40" s="27">
        <v>452.86</v>
      </c>
      <c r="D40" s="27">
        <v>903.73</v>
      </c>
      <c r="E40" s="27">
        <f t="shared" si="0"/>
        <v>16.630078151596063</v>
      </c>
      <c r="F40" s="27">
        <v>75.44</v>
      </c>
      <c r="G40" s="27">
        <f>160912.85/1000</f>
        <v>160.91285</v>
      </c>
      <c r="H40" s="25">
        <f t="shared" si="1"/>
        <v>281.4318433860317</v>
      </c>
      <c r="I40" s="27">
        <f t="shared" si="2"/>
        <v>903.73</v>
      </c>
    </row>
    <row r="41" spans="1:9" ht="76.5">
      <c r="A41" s="51" t="s">
        <v>118</v>
      </c>
      <c r="B41" s="27">
        <v>515.73</v>
      </c>
      <c r="C41" s="27">
        <v>39.79</v>
      </c>
      <c r="D41" s="27">
        <v>83.43</v>
      </c>
      <c r="E41" s="27">
        <f t="shared" si="0"/>
        <v>16.177069396777384</v>
      </c>
      <c r="F41" s="27">
        <v>3.43</v>
      </c>
      <c r="G41" s="27">
        <f>3504.13/1000</f>
        <v>3.50413</v>
      </c>
      <c r="H41" s="25">
        <f t="shared" si="1"/>
        <v>1135.5172325227659</v>
      </c>
      <c r="I41" s="27">
        <f t="shared" si="2"/>
        <v>83.43</v>
      </c>
    </row>
    <row r="42" spans="1:9" ht="38.25">
      <c r="A42" s="51" t="s">
        <v>119</v>
      </c>
      <c r="B42" s="27">
        <v>17384.33</v>
      </c>
      <c r="C42" s="27">
        <v>1448.69</v>
      </c>
      <c r="D42" s="27">
        <v>1409.03</v>
      </c>
      <c r="E42" s="27">
        <f t="shared" si="0"/>
        <v>8.10517287695298</v>
      </c>
      <c r="F42" s="27">
        <v>538.73</v>
      </c>
      <c r="G42" s="27">
        <f>1216579.84/1000</f>
        <v>1216.57984</v>
      </c>
      <c r="H42" s="25">
        <f t="shared" si="1"/>
        <v>119.07890895183664</v>
      </c>
      <c r="I42" s="27">
        <f t="shared" si="2"/>
        <v>1409.03</v>
      </c>
    </row>
    <row r="43" spans="1:9" ht="51">
      <c r="A43" s="51" t="s">
        <v>147</v>
      </c>
      <c r="B43" s="27">
        <v>62.2</v>
      </c>
      <c r="C43" s="27">
        <v>5.18</v>
      </c>
      <c r="D43" s="27">
        <v>0</v>
      </c>
      <c r="E43" s="27">
        <f t="shared" si="0"/>
        <v>0</v>
      </c>
      <c r="F43" s="27"/>
      <c r="G43" s="27">
        <v>0</v>
      </c>
      <c r="H43" s="25" t="s">
        <v>148</v>
      </c>
      <c r="I43" s="27">
        <f t="shared" si="2"/>
        <v>0</v>
      </c>
    </row>
    <row r="44" spans="1:9" ht="51">
      <c r="A44" s="51" t="s">
        <v>120</v>
      </c>
      <c r="B44" s="27">
        <v>1531</v>
      </c>
      <c r="C44" s="27">
        <v>382.75</v>
      </c>
      <c r="D44" s="27">
        <v>0</v>
      </c>
      <c r="E44" s="27">
        <f t="shared" si="0"/>
        <v>0</v>
      </c>
      <c r="F44" s="27">
        <v>0</v>
      </c>
      <c r="G44" s="27">
        <v>0</v>
      </c>
      <c r="H44" s="25" t="s">
        <v>148</v>
      </c>
      <c r="I44" s="27">
        <f t="shared" si="2"/>
        <v>0</v>
      </c>
    </row>
    <row r="45" spans="1:9" ht="76.5">
      <c r="A45" s="55" t="s">
        <v>121</v>
      </c>
      <c r="B45" s="27">
        <v>3503.77</v>
      </c>
      <c r="C45" s="27">
        <v>291.98</v>
      </c>
      <c r="D45" s="27">
        <v>194.67</v>
      </c>
      <c r="E45" s="27">
        <f t="shared" si="0"/>
        <v>5.556015377721711</v>
      </c>
      <c r="F45" s="27">
        <v>236.15</v>
      </c>
      <c r="G45" s="27">
        <f>88543.88/1000</f>
        <v>88.54388</v>
      </c>
      <c r="H45" s="25">
        <f t="shared" si="1"/>
        <v>329.75740389962584</v>
      </c>
      <c r="I45" s="27">
        <f t="shared" si="2"/>
        <v>194.67</v>
      </c>
    </row>
    <row r="46" spans="1:9" ht="27" customHeight="1">
      <c r="A46" s="48" t="s">
        <v>13</v>
      </c>
      <c r="B46" s="27">
        <v>598.72</v>
      </c>
      <c r="C46" s="27">
        <v>3</v>
      </c>
      <c r="D46" s="27">
        <v>2.37</v>
      </c>
      <c r="E46" s="25">
        <f t="shared" si="0"/>
        <v>0.39584446819882413</v>
      </c>
      <c r="F46" s="25">
        <v>43.6</v>
      </c>
      <c r="G46" s="27">
        <f>96256.37/1000</f>
        <v>96.25636999999999</v>
      </c>
      <c r="H46" s="25">
        <f t="shared" si="1"/>
        <v>3.116676849542529</v>
      </c>
      <c r="I46" s="33">
        <f t="shared" si="2"/>
        <v>2.37</v>
      </c>
    </row>
    <row r="47" spans="1:9" ht="25.5">
      <c r="A47" s="48" t="s">
        <v>96</v>
      </c>
      <c r="B47" s="27">
        <v>1290.36</v>
      </c>
      <c r="C47" s="27">
        <v>1.06</v>
      </c>
      <c r="D47" s="27">
        <v>0</v>
      </c>
      <c r="E47" s="25">
        <f t="shared" si="0"/>
        <v>0</v>
      </c>
      <c r="F47" s="25">
        <v>561.58</v>
      </c>
      <c r="G47" s="27">
        <f>21416.23/1000</f>
        <v>21.41623</v>
      </c>
      <c r="H47" s="25">
        <f t="shared" si="1"/>
        <v>4.949517258639827</v>
      </c>
      <c r="I47" s="33">
        <f t="shared" si="2"/>
        <v>0</v>
      </c>
    </row>
    <row r="48" spans="1:9" ht="25.5">
      <c r="A48" s="54" t="s">
        <v>14</v>
      </c>
      <c r="B48" s="27">
        <f>SUM(B49:B51)</f>
        <v>23400</v>
      </c>
      <c r="C48" s="27">
        <f>SUM(C49:C51)</f>
        <v>0</v>
      </c>
      <c r="D48" s="27">
        <f>SUM(D49:D51)</f>
        <v>476.8</v>
      </c>
      <c r="E48" s="25">
        <f t="shared" si="0"/>
        <v>2.0376068376068375</v>
      </c>
      <c r="F48" s="25">
        <v>585.5</v>
      </c>
      <c r="G48" s="27">
        <f>SUM(G49:G51)</f>
        <v>273.72363</v>
      </c>
      <c r="H48" s="25">
        <f t="shared" si="1"/>
        <v>0</v>
      </c>
      <c r="I48" s="33">
        <f t="shared" si="2"/>
        <v>476.8</v>
      </c>
    </row>
    <row r="49" spans="1:9" ht="12.75">
      <c r="A49" s="51" t="s">
        <v>94</v>
      </c>
      <c r="B49" s="33">
        <v>0</v>
      </c>
      <c r="C49" s="33">
        <v>0</v>
      </c>
      <c r="D49" s="33">
        <v>0</v>
      </c>
      <c r="E49" s="25">
        <v>0</v>
      </c>
      <c r="F49" s="25">
        <v>0</v>
      </c>
      <c r="G49" s="33">
        <v>0</v>
      </c>
      <c r="H49" s="25" t="s">
        <v>148</v>
      </c>
      <c r="I49" s="33">
        <f t="shared" si="2"/>
        <v>0</v>
      </c>
    </row>
    <row r="50" spans="1:9" ht="76.5">
      <c r="A50" s="51" t="s">
        <v>95</v>
      </c>
      <c r="B50" s="27">
        <v>22000</v>
      </c>
      <c r="C50" s="27">
        <v>0</v>
      </c>
      <c r="D50" s="27">
        <v>0</v>
      </c>
      <c r="E50" s="25">
        <f t="shared" si="0"/>
        <v>0</v>
      </c>
      <c r="F50" s="25">
        <v>37.14</v>
      </c>
      <c r="G50" s="27">
        <v>0</v>
      </c>
      <c r="H50" s="25" t="s">
        <v>148</v>
      </c>
      <c r="I50" s="33">
        <f t="shared" si="2"/>
        <v>0</v>
      </c>
    </row>
    <row r="51" spans="1:9" ht="52.5" customHeight="1">
      <c r="A51" s="55" t="s">
        <v>93</v>
      </c>
      <c r="B51" s="27">
        <v>1400</v>
      </c>
      <c r="C51" s="27">
        <v>0</v>
      </c>
      <c r="D51" s="27">
        <v>476.8</v>
      </c>
      <c r="E51" s="27">
        <f t="shared" si="0"/>
        <v>34.05714285714286</v>
      </c>
      <c r="F51" s="27">
        <v>548.36</v>
      </c>
      <c r="G51" s="27">
        <f>273723.63/1000</f>
        <v>273.72363</v>
      </c>
      <c r="H51" s="25">
        <f t="shared" si="1"/>
        <v>0</v>
      </c>
      <c r="I51" s="27">
        <f t="shared" si="2"/>
        <v>476.8</v>
      </c>
    </row>
    <row r="52" spans="1:9" ht="12.75">
      <c r="A52" s="48" t="s">
        <v>15</v>
      </c>
      <c r="B52" s="26">
        <v>3600.1</v>
      </c>
      <c r="C52" s="26">
        <v>106.96</v>
      </c>
      <c r="D52" s="26">
        <v>-4938.72</v>
      </c>
      <c r="E52" s="26">
        <f t="shared" si="0"/>
        <v>-137.1828560317769</v>
      </c>
      <c r="F52" s="26">
        <v>179.73</v>
      </c>
      <c r="G52" s="26">
        <f>105873.81/1000</f>
        <v>105.87380999999999</v>
      </c>
      <c r="H52" s="25">
        <f t="shared" si="1"/>
        <v>101.02592888647344</v>
      </c>
      <c r="I52" s="26">
        <f t="shared" si="2"/>
        <v>-4938.72</v>
      </c>
    </row>
    <row r="53" spans="1:9" ht="63.75" customHeight="1" hidden="1">
      <c r="A53" s="51" t="s">
        <v>126</v>
      </c>
      <c r="B53" s="26">
        <v>223.07</v>
      </c>
      <c r="C53" s="26">
        <v>20</v>
      </c>
      <c r="D53" s="26"/>
      <c r="E53" s="26">
        <f t="shared" si="0"/>
        <v>0</v>
      </c>
      <c r="F53" s="26"/>
      <c r="G53" s="26"/>
      <c r="H53" s="25" t="e">
        <f t="shared" si="1"/>
        <v>#DIV/0!</v>
      </c>
      <c r="I53" s="26">
        <f t="shared" si="2"/>
        <v>0</v>
      </c>
    </row>
    <row r="54" spans="1:9" ht="89.25" customHeight="1" hidden="1">
      <c r="A54" s="51" t="s">
        <v>127</v>
      </c>
      <c r="B54" s="26">
        <v>223.07</v>
      </c>
      <c r="C54" s="26">
        <v>20</v>
      </c>
      <c r="D54" s="26"/>
      <c r="E54" s="26">
        <f t="shared" si="0"/>
        <v>0</v>
      </c>
      <c r="F54" s="26"/>
      <c r="G54" s="26"/>
      <c r="H54" s="25" t="e">
        <f t="shared" si="1"/>
        <v>#DIV/0!</v>
      </c>
      <c r="I54" s="26">
        <f t="shared" si="2"/>
        <v>0</v>
      </c>
    </row>
    <row r="55" spans="1:9" ht="63.75" customHeight="1" hidden="1">
      <c r="A55" s="51" t="s">
        <v>128</v>
      </c>
      <c r="B55" s="26">
        <v>223.07</v>
      </c>
      <c r="C55" s="26">
        <v>20</v>
      </c>
      <c r="D55" s="26"/>
      <c r="E55" s="26">
        <f t="shared" si="0"/>
        <v>0</v>
      </c>
      <c r="F55" s="26"/>
      <c r="G55" s="26"/>
      <c r="H55" s="25" t="e">
        <f t="shared" si="1"/>
        <v>#DIV/0!</v>
      </c>
      <c r="I55" s="26">
        <f t="shared" si="2"/>
        <v>0</v>
      </c>
    </row>
    <row r="56" spans="1:9" ht="29.25" customHeight="1" hidden="1">
      <c r="A56" s="51" t="s">
        <v>129</v>
      </c>
      <c r="B56" s="26">
        <v>223.07</v>
      </c>
      <c r="C56" s="26">
        <v>20</v>
      </c>
      <c r="D56" s="26"/>
      <c r="E56" s="26">
        <f t="shared" si="0"/>
        <v>0</v>
      </c>
      <c r="F56" s="26"/>
      <c r="G56" s="26"/>
      <c r="H56" s="25" t="e">
        <f t="shared" si="1"/>
        <v>#DIV/0!</v>
      </c>
      <c r="I56" s="26">
        <f t="shared" si="2"/>
        <v>0</v>
      </c>
    </row>
    <row r="57" spans="1:9" ht="38.25" customHeight="1" hidden="1">
      <c r="A57" s="51" t="s">
        <v>130</v>
      </c>
      <c r="B57" s="26">
        <v>223.07</v>
      </c>
      <c r="C57" s="26">
        <v>20</v>
      </c>
      <c r="D57" s="26"/>
      <c r="E57" s="26">
        <f t="shared" si="0"/>
        <v>0</v>
      </c>
      <c r="F57" s="26"/>
      <c r="G57" s="26"/>
      <c r="H57" s="25" t="e">
        <f t="shared" si="1"/>
        <v>#DIV/0!</v>
      </c>
      <c r="I57" s="26">
        <f t="shared" si="2"/>
        <v>0</v>
      </c>
    </row>
    <row r="58" spans="1:9" ht="43.5" customHeight="1" hidden="1">
      <c r="A58" s="51" t="s">
        <v>131</v>
      </c>
      <c r="B58" s="26">
        <v>223.07</v>
      </c>
      <c r="C58" s="26">
        <v>20</v>
      </c>
      <c r="D58" s="26"/>
      <c r="E58" s="26">
        <f t="shared" si="0"/>
        <v>0</v>
      </c>
      <c r="F58" s="26"/>
      <c r="G58" s="26"/>
      <c r="H58" s="25" t="e">
        <f t="shared" si="1"/>
        <v>#DIV/0!</v>
      </c>
      <c r="I58" s="26">
        <f t="shared" si="2"/>
        <v>0</v>
      </c>
    </row>
    <row r="59" spans="1:9" ht="40.5" customHeight="1" hidden="1">
      <c r="A59" s="51" t="s">
        <v>132</v>
      </c>
      <c r="B59" s="26">
        <v>223.07</v>
      </c>
      <c r="C59" s="26">
        <v>20</v>
      </c>
      <c r="D59" s="26"/>
      <c r="E59" s="26">
        <f t="shared" si="0"/>
        <v>0</v>
      </c>
      <c r="F59" s="26"/>
      <c r="G59" s="26"/>
      <c r="H59" s="25" t="e">
        <f t="shared" si="1"/>
        <v>#DIV/0!</v>
      </c>
      <c r="I59" s="26">
        <f t="shared" si="2"/>
        <v>0</v>
      </c>
    </row>
    <row r="60" spans="1:9" ht="51" customHeight="1" hidden="1">
      <c r="A60" s="51" t="s">
        <v>133</v>
      </c>
      <c r="B60" s="26">
        <v>223.07</v>
      </c>
      <c r="C60" s="26">
        <v>20</v>
      </c>
      <c r="D60" s="26"/>
      <c r="E60" s="26">
        <f t="shared" si="0"/>
        <v>0</v>
      </c>
      <c r="F60" s="26"/>
      <c r="G60" s="26"/>
      <c r="H60" s="25" t="e">
        <f t="shared" si="1"/>
        <v>#DIV/0!</v>
      </c>
      <c r="I60" s="26">
        <f t="shared" si="2"/>
        <v>0</v>
      </c>
    </row>
    <row r="61" spans="1:9" ht="76.5" customHeight="1" hidden="1">
      <c r="A61" s="51" t="s">
        <v>134</v>
      </c>
      <c r="B61" s="26">
        <v>223.07</v>
      </c>
      <c r="C61" s="26">
        <v>20</v>
      </c>
      <c r="D61" s="26"/>
      <c r="E61" s="26">
        <f t="shared" si="0"/>
        <v>0</v>
      </c>
      <c r="F61" s="26"/>
      <c r="G61" s="26"/>
      <c r="H61" s="25" t="e">
        <f t="shared" si="1"/>
        <v>#DIV/0!</v>
      </c>
      <c r="I61" s="26">
        <f t="shared" si="2"/>
        <v>0</v>
      </c>
    </row>
    <row r="62" spans="1:9" ht="12.75" customHeight="1" hidden="1">
      <c r="A62" s="51" t="s">
        <v>135</v>
      </c>
      <c r="B62" s="26">
        <v>223.07</v>
      </c>
      <c r="C62" s="26">
        <v>20</v>
      </c>
      <c r="D62" s="26"/>
      <c r="E62" s="26">
        <f t="shared" si="0"/>
        <v>0</v>
      </c>
      <c r="F62" s="26"/>
      <c r="G62" s="26"/>
      <c r="H62" s="25" t="e">
        <f t="shared" si="1"/>
        <v>#DIV/0!</v>
      </c>
      <c r="I62" s="26">
        <f t="shared" si="2"/>
        <v>0</v>
      </c>
    </row>
    <row r="63" spans="1:9" ht="12.75">
      <c r="A63" s="47" t="s">
        <v>16</v>
      </c>
      <c r="B63" s="26">
        <v>10</v>
      </c>
      <c r="C63" s="26">
        <v>0.8</v>
      </c>
      <c r="D63" s="26">
        <v>-1071.92</v>
      </c>
      <c r="E63" s="26">
        <f t="shared" si="0"/>
        <v>-10719.2</v>
      </c>
      <c r="F63" s="26">
        <v>-38.79</v>
      </c>
      <c r="G63" s="26">
        <v>0</v>
      </c>
      <c r="H63" s="25" t="s">
        <v>148</v>
      </c>
      <c r="I63" s="26">
        <f t="shared" si="2"/>
        <v>-1071.92</v>
      </c>
    </row>
    <row r="64" spans="1:9" ht="12.75">
      <c r="A64" s="54" t="s">
        <v>17</v>
      </c>
      <c r="B64" s="26">
        <f>B63+B52+B48+B47+B46+B37+B29+B26+B21+B16+B8</f>
        <v>718032.66</v>
      </c>
      <c r="C64" s="26">
        <f>C63+C52+C48+C47+C46+C37+C29+C26+C21+C16+C8</f>
        <v>20087.34</v>
      </c>
      <c r="D64" s="26">
        <f>D63+D52+D48+D47+D46+D37+D29+D26+D21+D16+D8</f>
        <v>25872.69</v>
      </c>
      <c r="E64" s="26">
        <f t="shared" si="0"/>
        <v>3.6032748148252756</v>
      </c>
      <c r="F64" s="26">
        <v>27699.089999999997</v>
      </c>
      <c r="G64" s="26">
        <f>G63+G52+G48+G47+G46+G37+G29+G26+G21+G16+G8</f>
        <v>34369.89031</v>
      </c>
      <c r="H64" s="25">
        <f t="shared" si="1"/>
        <v>58.44458570807699</v>
      </c>
      <c r="I64" s="26">
        <f t="shared" si="2"/>
        <v>25872.69</v>
      </c>
    </row>
    <row r="65" spans="1:9" ht="12.75">
      <c r="A65" s="54" t="s">
        <v>18</v>
      </c>
      <c r="B65" s="26">
        <f>B66+B71+B72</f>
        <v>2814369.05</v>
      </c>
      <c r="C65" s="26">
        <f>C66+C71+C72</f>
        <v>19476.479999999996</v>
      </c>
      <c r="D65" s="26">
        <f>D66+D71+D72</f>
        <v>19476.479999999996</v>
      </c>
      <c r="E65" s="26">
        <f t="shared" si="0"/>
        <v>0.6920371725946886</v>
      </c>
      <c r="F65" s="26">
        <v>43822.57000000001</v>
      </c>
      <c r="G65" s="26">
        <f>G66+G71+G72</f>
        <v>26428.086470000002</v>
      </c>
      <c r="H65" s="25">
        <f t="shared" si="1"/>
        <v>73.69614149745135</v>
      </c>
      <c r="I65" s="26">
        <f t="shared" si="2"/>
        <v>19476.479999999996</v>
      </c>
    </row>
    <row r="66" spans="1:9" ht="25.5">
      <c r="A66" s="54" t="s">
        <v>19</v>
      </c>
      <c r="B66" s="26">
        <f>SUM(B67:B70)</f>
        <v>2868184.75</v>
      </c>
      <c r="C66" s="26">
        <f>SUM(C67:C70)</f>
        <v>73292.18</v>
      </c>
      <c r="D66" s="26">
        <f>SUM(D67:D70)</f>
        <v>73292.18</v>
      </c>
      <c r="E66" s="26">
        <f t="shared" si="0"/>
        <v>2.555350731852263</v>
      </c>
      <c r="F66" s="26">
        <v>46091.770000000004</v>
      </c>
      <c r="G66" s="26">
        <f>SUM(G67:G70)</f>
        <v>51320.40685</v>
      </c>
      <c r="H66" s="25">
        <f t="shared" si="1"/>
        <v>142.81293640991467</v>
      </c>
      <c r="I66" s="26">
        <f t="shared" si="2"/>
        <v>73292.18</v>
      </c>
    </row>
    <row r="67" spans="1:9" ht="12.75">
      <c r="A67" s="51" t="s">
        <v>108</v>
      </c>
      <c r="B67" s="27">
        <v>565077</v>
      </c>
      <c r="C67" s="27">
        <v>37020.8</v>
      </c>
      <c r="D67" s="27">
        <v>37020.8</v>
      </c>
      <c r="E67" s="25">
        <f t="shared" si="0"/>
        <v>6.551461128306409</v>
      </c>
      <c r="F67" s="25">
        <v>15902.8</v>
      </c>
      <c r="G67" s="27">
        <f>18665500/1000</f>
        <v>18665.5</v>
      </c>
      <c r="H67" s="25">
        <f t="shared" si="1"/>
        <v>198.3381104176154</v>
      </c>
      <c r="I67" s="33">
        <f t="shared" si="2"/>
        <v>37020.8</v>
      </c>
    </row>
    <row r="68" spans="1:9" ht="12.75" customHeight="1">
      <c r="A68" s="51" t="s">
        <v>109</v>
      </c>
      <c r="B68" s="27">
        <v>1021638.65</v>
      </c>
      <c r="C68" s="27">
        <v>0</v>
      </c>
      <c r="D68" s="27">
        <v>0</v>
      </c>
      <c r="E68" s="25">
        <f t="shared" si="0"/>
        <v>0</v>
      </c>
      <c r="F68" s="25">
        <v>0</v>
      </c>
      <c r="G68" s="27">
        <f>702486/1000</f>
        <v>702.486</v>
      </c>
      <c r="H68" s="25">
        <f t="shared" si="1"/>
        <v>0</v>
      </c>
      <c r="I68" s="33">
        <f t="shared" si="2"/>
        <v>0</v>
      </c>
    </row>
    <row r="69" spans="1:9" ht="18.75" customHeight="1">
      <c r="A69" s="51" t="s">
        <v>110</v>
      </c>
      <c r="B69" s="27">
        <v>1232125.5</v>
      </c>
      <c r="C69" s="27">
        <v>36271.38</v>
      </c>
      <c r="D69" s="27">
        <v>36271.38</v>
      </c>
      <c r="E69" s="25">
        <f t="shared" si="0"/>
        <v>2.943805643175147</v>
      </c>
      <c r="F69" s="25">
        <v>30188.97</v>
      </c>
      <c r="G69" s="27">
        <f>31952420.85/1000</f>
        <v>31952.420850000002</v>
      </c>
      <c r="H69" s="25">
        <f t="shared" si="1"/>
        <v>113.51684484338531</v>
      </c>
      <c r="I69" s="33">
        <f t="shared" si="2"/>
        <v>36271.38</v>
      </c>
    </row>
    <row r="70" spans="1:9" ht="12.75" customHeight="1">
      <c r="A70" s="2" t="s">
        <v>122</v>
      </c>
      <c r="B70" s="27">
        <v>49343.6</v>
      </c>
      <c r="C70" s="27">
        <v>0</v>
      </c>
      <c r="D70" s="27">
        <v>0</v>
      </c>
      <c r="E70" s="25">
        <f t="shared" si="0"/>
        <v>0</v>
      </c>
      <c r="F70" s="25">
        <v>0</v>
      </c>
      <c r="G70" s="34">
        <v>0</v>
      </c>
      <c r="H70" s="25" t="s">
        <v>148</v>
      </c>
      <c r="I70" s="33">
        <f t="shared" si="2"/>
        <v>0</v>
      </c>
    </row>
    <row r="71" spans="1:9" ht="12.75" customHeight="1">
      <c r="A71" s="54" t="s">
        <v>113</v>
      </c>
      <c r="B71" s="26"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5" t="s">
        <v>148</v>
      </c>
      <c r="I71" s="26">
        <f t="shared" si="2"/>
        <v>0</v>
      </c>
    </row>
    <row r="72" spans="1:9" ht="25.5">
      <c r="A72" s="54" t="s">
        <v>21</v>
      </c>
      <c r="B72" s="26">
        <v>-53815.7</v>
      </c>
      <c r="C72" s="26">
        <v>-53815.7</v>
      </c>
      <c r="D72" s="26">
        <v>-53815.7</v>
      </c>
      <c r="E72" s="26">
        <f t="shared" si="0"/>
        <v>100</v>
      </c>
      <c r="F72" s="26">
        <v>-2269.2</v>
      </c>
      <c r="G72" s="26">
        <f>-24892320.38/1000</f>
        <v>-24892.320379999997</v>
      </c>
      <c r="H72" s="25">
        <f t="shared" si="1"/>
        <v>216.1939874566246</v>
      </c>
      <c r="I72" s="26">
        <f t="shared" si="2"/>
        <v>-53815.7</v>
      </c>
    </row>
    <row r="73" spans="1:9" ht="12.75">
      <c r="A73" s="47" t="s">
        <v>20</v>
      </c>
      <c r="B73" s="26">
        <f>B9+B11+B12+B13+B14+B15+B17+B18+B19+B20+B22+B23+B24+B25+B27+B28+B30+B31+B32+B39+B40+B41+B42+B43+B44+B45+B46+B47+B49+B50+B51+B52+B63+B67+B68+B69+B70+B71+B72</f>
        <v>3532401.71</v>
      </c>
      <c r="C73" s="26">
        <f>C9+C11+C12+C13+C14+C15+C17+C18+C19+C20+C22+C23+C24+C25+C27+C28+C30+C31+C32+C39+C40+C41+C42+C43+C44+C45+C46+C47+C49+C50+C51+C52+C63+C67+C68+C69+C70+C71+C72</f>
        <v>39563.81999999999</v>
      </c>
      <c r="D73" s="26">
        <f>D9+D11+D12+D13+D14+D15+D17+D18+D19+D20+D22+D23+D24+D25+D27+D28+D30+D31+D32+D39+D40+D41+D42+D43+D44+D45+D46+D47+D49+D50+D51+D52+D63+D67+D68+D69+D70+D71+D72+D36</f>
        <v>45349.58</v>
      </c>
      <c r="E73" s="25">
        <f>D73/B73*100</f>
        <v>1.2838171794453128</v>
      </c>
      <c r="F73" s="25">
        <v>71521.66</v>
      </c>
      <c r="G73" s="26">
        <f>G9+G11+G12+G13+G14+G15+G17+G18+G19+G20+G22+G23+G24+G25+G27+G28+G30+G31+G32+G39+G40+G41+G42+G43+G44+G45+G46+G47+G49+G50+G51+G52+G63+G67+G68+G69+G70+G71+G72</f>
        <v>60797.976780000005</v>
      </c>
      <c r="H73" s="25">
        <f>C73/G73*100</f>
        <v>65.07423782071452</v>
      </c>
      <c r="I73" s="33">
        <f>D73</f>
        <v>45349.58</v>
      </c>
    </row>
    <row r="74" spans="1:9" ht="12.75" customHeight="1" hidden="1">
      <c r="A74" s="54"/>
      <c r="B74" s="61"/>
      <c r="C74" s="61"/>
      <c r="D74" s="61"/>
      <c r="E74" s="45"/>
      <c r="F74" s="45"/>
      <c r="G74" s="61"/>
      <c r="H74" s="45"/>
      <c r="I74" s="61"/>
    </row>
    <row r="75" spans="1:9" ht="12.75" customHeight="1" hidden="1">
      <c r="A75" s="54"/>
      <c r="B75" s="56"/>
      <c r="C75" s="56"/>
      <c r="D75" s="56"/>
      <c r="E75" s="45"/>
      <c r="F75" s="45"/>
      <c r="G75" s="56"/>
      <c r="H75" s="45"/>
      <c r="I75" s="56"/>
    </row>
    <row r="76" spans="1:9" ht="12.75" customHeight="1" hidden="1">
      <c r="A76" s="47"/>
      <c r="B76" s="57"/>
      <c r="C76" s="57"/>
      <c r="D76" s="57"/>
      <c r="E76" s="45"/>
      <c r="F76" s="45"/>
      <c r="G76" s="57"/>
      <c r="H76" s="45"/>
      <c r="I76" s="57"/>
    </row>
    <row r="77" spans="1:9" ht="12.75" customHeight="1" hidden="1">
      <c r="A77" s="62"/>
      <c r="B77" s="63"/>
      <c r="C77" s="63"/>
      <c r="D77" s="63"/>
      <c r="E77" s="64"/>
      <c r="F77" s="64"/>
      <c r="G77" s="63"/>
      <c r="H77" s="64"/>
      <c r="I77" s="65"/>
    </row>
    <row r="78" spans="1:9" ht="12.75">
      <c r="A78" s="108" t="s">
        <v>22</v>
      </c>
      <c r="B78" s="109"/>
      <c r="C78" s="109"/>
      <c r="D78" s="109"/>
      <c r="E78" s="109"/>
      <c r="F78" s="109"/>
      <c r="G78" s="109"/>
      <c r="H78" s="109"/>
      <c r="I78" s="110"/>
    </row>
    <row r="79" spans="1:9" ht="12.75">
      <c r="A79" s="7" t="s">
        <v>23</v>
      </c>
      <c r="B79" s="33">
        <f>B80+B81+B82+B83+B84+B85+B86+B87</f>
        <v>434547.43</v>
      </c>
      <c r="C79" s="33">
        <f>C80+C81+C82+C83+C84+C85+C86+C87</f>
        <v>8079.62</v>
      </c>
      <c r="D79" s="33">
        <f>D80+D81+D82+D83+D84+D85+D86+D87</f>
        <v>4040.7699999999995</v>
      </c>
      <c r="E79" s="25">
        <f>$D:$D/$B:$B*100</f>
        <v>0.9298800823652321</v>
      </c>
      <c r="F79" s="25">
        <f>$D:$D/$C:$C*100</f>
        <v>50.011881746913836</v>
      </c>
      <c r="G79" s="33">
        <v>3236.1400000000003</v>
      </c>
      <c r="H79" s="25">
        <f>$D:$D/$G:$G*100</f>
        <v>124.86388104346533</v>
      </c>
      <c r="I79" s="33">
        <f>I80+I81+I82+I83+I84+I85+I86+I87</f>
        <v>4088.2099999999996</v>
      </c>
    </row>
    <row r="80" spans="1:9" ht="14.25" customHeight="1">
      <c r="A80" s="8" t="s">
        <v>24</v>
      </c>
      <c r="B80" s="27">
        <v>3112.77</v>
      </c>
      <c r="C80" s="27">
        <v>241.38</v>
      </c>
      <c r="D80" s="27">
        <v>84.67</v>
      </c>
      <c r="E80" s="28">
        <f>$D:$D/$B:$B*100</f>
        <v>2.720085325931566</v>
      </c>
      <c r="F80" s="28">
        <v>0</v>
      </c>
      <c r="G80" s="34">
        <v>0</v>
      </c>
      <c r="H80" s="28">
        <v>0</v>
      </c>
      <c r="I80" s="34">
        <f>D80</f>
        <v>84.67</v>
      </c>
    </row>
    <row r="81" spans="1:9" ht="12.75">
      <c r="A81" s="8" t="s">
        <v>25</v>
      </c>
      <c r="B81" s="27">
        <v>7499.62</v>
      </c>
      <c r="C81" s="27">
        <v>503.84</v>
      </c>
      <c r="D81" s="27">
        <v>179.94</v>
      </c>
      <c r="E81" s="28">
        <f>$D:$D/$B:$B*100</f>
        <v>2.3993215656259914</v>
      </c>
      <c r="F81" s="28">
        <f>$D:$D/$C:$C*100</f>
        <v>35.71371864083836</v>
      </c>
      <c r="G81" s="34">
        <v>176.91</v>
      </c>
      <c r="H81" s="28">
        <f>$D:$D/$G:$G*100</f>
        <v>101.71273528913008</v>
      </c>
      <c r="I81" s="34">
        <f>D81</f>
        <v>179.94</v>
      </c>
    </row>
    <row r="82" spans="1:9" ht="25.5">
      <c r="A82" s="8" t="s">
        <v>26</v>
      </c>
      <c r="B82" s="27">
        <v>68863.27</v>
      </c>
      <c r="C82" s="27">
        <v>4496.61</v>
      </c>
      <c r="D82" s="27">
        <v>1766.43</v>
      </c>
      <c r="E82" s="28">
        <f>$D:$D/$B:$B*100</f>
        <v>2.5651265180988356</v>
      </c>
      <c r="F82" s="28">
        <f>$D:$D/$C:$C*100</f>
        <v>39.28359364054255</v>
      </c>
      <c r="G82" s="34">
        <v>1687.84</v>
      </c>
      <c r="H82" s="28">
        <f>$D:$D/$G:$G*100</f>
        <v>104.6562470376339</v>
      </c>
      <c r="I82" s="34">
        <f aca="true" t="shared" si="3" ref="I82:I126">D82</f>
        <v>1766.43</v>
      </c>
    </row>
    <row r="83" spans="1:9" ht="12.75">
      <c r="A83" s="8" t="s">
        <v>72</v>
      </c>
      <c r="B83" s="27">
        <v>4</v>
      </c>
      <c r="C83" s="27">
        <v>0</v>
      </c>
      <c r="D83" s="27">
        <v>0</v>
      </c>
      <c r="E83" s="28">
        <v>0</v>
      </c>
      <c r="F83" s="28">
        <v>0</v>
      </c>
      <c r="G83" s="34">
        <v>0</v>
      </c>
      <c r="H83" s="28">
        <v>0</v>
      </c>
      <c r="I83" s="34">
        <f>D84</f>
        <v>838.99</v>
      </c>
    </row>
    <row r="84" spans="1:9" ht="25.5">
      <c r="A84" s="1" t="s">
        <v>27</v>
      </c>
      <c r="B84" s="27">
        <v>17596.75</v>
      </c>
      <c r="C84" s="27">
        <v>1275.25</v>
      </c>
      <c r="D84" s="27">
        <v>838.99</v>
      </c>
      <c r="E84" s="28">
        <f>$D:$D/$B:$B*100</f>
        <v>4.767869066731072</v>
      </c>
      <c r="F84" s="28">
        <v>0</v>
      </c>
      <c r="G84" s="34">
        <v>437.11</v>
      </c>
      <c r="H84" s="28">
        <f>$D:$D/$G:$G*100</f>
        <v>191.9402438745396</v>
      </c>
      <c r="I84" s="34">
        <f>D85</f>
        <v>0</v>
      </c>
    </row>
    <row r="85" spans="1:9" ht="12.75" customHeight="1" hidden="1">
      <c r="A85" s="8" t="s">
        <v>28</v>
      </c>
      <c r="B85" s="27">
        <v>0</v>
      </c>
      <c r="C85" s="27">
        <v>0</v>
      </c>
      <c r="D85" s="27">
        <v>0</v>
      </c>
      <c r="E85" s="28">
        <v>0</v>
      </c>
      <c r="F85" s="28">
        <v>0</v>
      </c>
      <c r="G85" s="34">
        <v>0</v>
      </c>
      <c r="H85" s="28">
        <v>0</v>
      </c>
      <c r="I85" s="34">
        <f>D86</f>
        <v>0</v>
      </c>
    </row>
    <row r="86" spans="1:9" ht="12.75">
      <c r="A86" s="8" t="s">
        <v>29</v>
      </c>
      <c r="B86" s="27">
        <v>26603.83</v>
      </c>
      <c r="C86" s="27">
        <v>0</v>
      </c>
      <c r="D86" s="27">
        <v>0</v>
      </c>
      <c r="E86" s="28">
        <f>$D:$D/$B:$B*100</f>
        <v>0</v>
      </c>
      <c r="F86" s="28">
        <v>0</v>
      </c>
      <c r="G86" s="34">
        <v>0</v>
      </c>
      <c r="H86" s="28">
        <v>0</v>
      </c>
      <c r="I86" s="34">
        <f>D87</f>
        <v>1170.74</v>
      </c>
    </row>
    <row r="87" spans="1:9" ht="12.75">
      <c r="A87" s="1" t="s">
        <v>30</v>
      </c>
      <c r="B87" s="27">
        <v>310867.19</v>
      </c>
      <c r="C87" s="27">
        <v>1562.54</v>
      </c>
      <c r="D87" s="27">
        <v>1170.74</v>
      </c>
      <c r="E87" s="28">
        <f>$D:$D/$B:$B*100</f>
        <v>0.3766045557911724</v>
      </c>
      <c r="F87" s="28">
        <f>$D:$D/$C:$C*100</f>
        <v>74.92544190868713</v>
      </c>
      <c r="G87" s="34">
        <v>934.28</v>
      </c>
      <c r="H87" s="28">
        <f>$D:$D/$G:$G*100</f>
        <v>125.30932910904656</v>
      </c>
      <c r="I87" s="34">
        <f>D88</f>
        <v>47.44</v>
      </c>
    </row>
    <row r="88" spans="1:9" ht="12.75">
      <c r="A88" s="7" t="s">
        <v>31</v>
      </c>
      <c r="B88" s="27">
        <v>527.7</v>
      </c>
      <c r="C88" s="27">
        <v>47.44</v>
      </c>
      <c r="D88" s="27">
        <v>47.44</v>
      </c>
      <c r="E88" s="25">
        <f>$D:$D/$B:$B*100</f>
        <v>8.989956414629523</v>
      </c>
      <c r="F88" s="25">
        <f>$D:$D/$C:$C*100</f>
        <v>100</v>
      </c>
      <c r="G88" s="34">
        <v>31.6</v>
      </c>
      <c r="H88" s="25">
        <v>0</v>
      </c>
      <c r="I88" s="33">
        <f>D88</f>
        <v>47.44</v>
      </c>
    </row>
    <row r="89" spans="1:9" ht="25.5">
      <c r="A89" s="9" t="s">
        <v>32</v>
      </c>
      <c r="B89" s="26">
        <v>7605.73</v>
      </c>
      <c r="C89" s="26">
        <v>120</v>
      </c>
      <c r="D89" s="26">
        <v>120</v>
      </c>
      <c r="E89" s="25">
        <f>$D:$D/$B:$B*100</f>
        <v>1.5777578220631023</v>
      </c>
      <c r="F89" s="25">
        <f>$D:$D/$C:$C*100</f>
        <v>100</v>
      </c>
      <c r="G89" s="34">
        <v>87</v>
      </c>
      <c r="H89" s="25">
        <f>$D:$D/$G:$G*100</f>
        <v>137.93103448275863</v>
      </c>
      <c r="I89" s="33">
        <f t="shared" si="3"/>
        <v>120</v>
      </c>
    </row>
    <row r="90" spans="1:9" ht="12.75">
      <c r="A90" s="7" t="s">
        <v>33</v>
      </c>
      <c r="B90" s="33">
        <f>B91+B92+B93+B94+B95</f>
        <v>203553.25999999998</v>
      </c>
      <c r="C90" s="33">
        <f>C91+C92+C93+C94+C95</f>
        <v>3235.73</v>
      </c>
      <c r="D90" s="33">
        <f>D91+D92+D93+D94+D95</f>
        <v>2485.29</v>
      </c>
      <c r="E90" s="25">
        <f>$D:$D/$B:$B*100</f>
        <v>1.2209531795265771</v>
      </c>
      <c r="F90" s="25">
        <f>$D:$D/$C:$C*100</f>
        <v>76.80770645263975</v>
      </c>
      <c r="G90" s="33">
        <v>880.29</v>
      </c>
      <c r="H90" s="25">
        <f>$D:$D/$G:$G*100</f>
        <v>282.32627883992774</v>
      </c>
      <c r="I90" s="33">
        <f t="shared" si="3"/>
        <v>2485.29</v>
      </c>
    </row>
    <row r="91" spans="1:9" ht="12.75" customHeight="1" hidden="1">
      <c r="A91" s="10" t="s">
        <v>64</v>
      </c>
      <c r="B91" s="34"/>
      <c r="C91" s="34"/>
      <c r="D91" s="34"/>
      <c r="E91" s="28">
        <v>0</v>
      </c>
      <c r="F91" s="28">
        <v>0</v>
      </c>
      <c r="G91" s="34"/>
      <c r="H91" s="28">
        <v>0</v>
      </c>
      <c r="I91" s="34">
        <f t="shared" si="3"/>
        <v>0</v>
      </c>
    </row>
    <row r="92" spans="1:9" ht="12.75" customHeight="1">
      <c r="A92" s="10" t="s">
        <v>67</v>
      </c>
      <c r="B92" s="27">
        <v>752.34</v>
      </c>
      <c r="C92" s="27">
        <v>0</v>
      </c>
      <c r="D92" s="27">
        <v>0</v>
      </c>
      <c r="E92" s="28">
        <v>0</v>
      </c>
      <c r="F92" s="28">
        <v>0</v>
      </c>
      <c r="G92" s="34">
        <v>0</v>
      </c>
      <c r="H92" s="28">
        <v>0</v>
      </c>
      <c r="I92" s="34">
        <f t="shared" si="3"/>
        <v>0</v>
      </c>
    </row>
    <row r="93" spans="1:9" ht="12.75">
      <c r="A93" s="8" t="s">
        <v>34</v>
      </c>
      <c r="B93" s="27">
        <v>29381</v>
      </c>
      <c r="C93" s="27">
        <v>0</v>
      </c>
      <c r="D93" s="27">
        <v>0</v>
      </c>
      <c r="E93" s="28">
        <f>$D:$D/$B:$B*100</f>
        <v>0</v>
      </c>
      <c r="F93" s="28">
        <v>0</v>
      </c>
      <c r="G93" s="34">
        <v>0</v>
      </c>
      <c r="H93" s="28">
        <v>0</v>
      </c>
      <c r="I93" s="34">
        <f t="shared" si="3"/>
        <v>0</v>
      </c>
    </row>
    <row r="94" spans="1:9" ht="12.75">
      <c r="A94" s="10" t="s">
        <v>77</v>
      </c>
      <c r="B94" s="27">
        <v>155000.74</v>
      </c>
      <c r="C94" s="27">
        <v>2186.85</v>
      </c>
      <c r="D94" s="27">
        <v>2186.85</v>
      </c>
      <c r="E94" s="28">
        <f>$D:$D/$B:$B*100</f>
        <v>1.4108642320030214</v>
      </c>
      <c r="F94" s="28">
        <f>$D:$D/$C:$C*100</f>
        <v>100</v>
      </c>
      <c r="G94" s="27">
        <v>0</v>
      </c>
      <c r="H94" s="28">
        <v>0</v>
      </c>
      <c r="I94" s="34">
        <f t="shared" si="3"/>
        <v>2186.85</v>
      </c>
    </row>
    <row r="95" spans="1:9" ht="12.75">
      <c r="A95" s="8" t="s">
        <v>35</v>
      </c>
      <c r="B95" s="27">
        <v>18419.18</v>
      </c>
      <c r="C95" s="27">
        <v>1048.88</v>
      </c>
      <c r="D95" s="27">
        <v>298.44</v>
      </c>
      <c r="E95" s="28">
        <f>$D:$D/$B:$B*100</f>
        <v>1.6202675689145771</v>
      </c>
      <c r="F95" s="28">
        <f>$D:$D/$C:$C*100</f>
        <v>28.45320723056975</v>
      </c>
      <c r="G95" s="27">
        <v>880.29</v>
      </c>
      <c r="H95" s="28">
        <f>$D:$D/$G:$G*100</f>
        <v>33.902463960740214</v>
      </c>
      <c r="I95" s="34">
        <f t="shared" si="3"/>
        <v>298.44</v>
      </c>
    </row>
    <row r="96" spans="1:9" ht="12.75">
      <c r="A96" s="7" t="s">
        <v>36</v>
      </c>
      <c r="B96" s="33">
        <f>B98+B99+B100+B97</f>
        <v>343201.45</v>
      </c>
      <c r="C96" s="27">
        <f>C98+C99+C100+C97</f>
        <v>3567.75</v>
      </c>
      <c r="D96" s="33">
        <f>D98+D99+D100+D97</f>
        <v>3132.88</v>
      </c>
      <c r="E96" s="33">
        <f>E99+E100+E97</f>
        <v>3.1891463397417446</v>
      </c>
      <c r="F96" s="25">
        <f>$D:$D/$C:$C*100</f>
        <v>87.81108541798052</v>
      </c>
      <c r="G96" s="33">
        <v>1626.4299999999998</v>
      </c>
      <c r="H96" s="33">
        <f>H98+H99+H100</f>
        <v>456.43316845981695</v>
      </c>
      <c r="I96" s="33">
        <f>D96</f>
        <v>3132.88</v>
      </c>
    </row>
    <row r="97" spans="1:9" ht="12.75">
      <c r="A97" s="8" t="s">
        <v>37</v>
      </c>
      <c r="B97" s="27">
        <v>950</v>
      </c>
      <c r="C97" s="27">
        <v>0</v>
      </c>
      <c r="D97" s="27">
        <v>0</v>
      </c>
      <c r="E97" s="43">
        <v>0</v>
      </c>
      <c r="F97" s="28">
        <v>0</v>
      </c>
      <c r="G97" s="44">
        <v>0</v>
      </c>
      <c r="H97" s="28">
        <v>0</v>
      </c>
      <c r="I97" s="34">
        <f t="shared" si="3"/>
        <v>0</v>
      </c>
    </row>
    <row r="98" spans="1:9" ht="12.75">
      <c r="A98" s="8" t="s">
        <v>38</v>
      </c>
      <c r="B98" s="27">
        <v>4119.67</v>
      </c>
      <c r="C98" s="27">
        <v>0</v>
      </c>
      <c r="D98" s="27">
        <v>0</v>
      </c>
      <c r="E98" s="28">
        <f>$D:$D/$B:$B*100</f>
        <v>0</v>
      </c>
      <c r="F98" s="28">
        <v>0</v>
      </c>
      <c r="G98" s="34">
        <v>0</v>
      </c>
      <c r="H98" s="28">
        <v>0</v>
      </c>
      <c r="I98" s="34">
        <f t="shared" si="3"/>
        <v>0</v>
      </c>
    </row>
    <row r="99" spans="1:9" ht="12.75">
      <c r="A99" s="8" t="s">
        <v>39</v>
      </c>
      <c r="B99" s="27">
        <v>281547.38</v>
      </c>
      <c r="C99" s="27">
        <v>1662.43</v>
      </c>
      <c r="D99" s="27">
        <v>1662.43</v>
      </c>
      <c r="E99" s="28">
        <f>$D:$D/$B:$B*100</f>
        <v>0.5904618966796992</v>
      </c>
      <c r="F99" s="28">
        <f>$D:$D/$C:$C*100</f>
        <v>100</v>
      </c>
      <c r="G99" s="27">
        <v>1156.09</v>
      </c>
      <c r="H99" s="28">
        <f>$D:$D/$G:$G*100</f>
        <v>143.7976282123364</v>
      </c>
      <c r="I99" s="34">
        <f t="shared" si="3"/>
        <v>1662.43</v>
      </c>
    </row>
    <row r="100" spans="1:9" ht="12.75">
      <c r="A100" s="8" t="s">
        <v>40</v>
      </c>
      <c r="B100" s="27">
        <v>56584.4</v>
      </c>
      <c r="C100" s="27">
        <v>1905.32</v>
      </c>
      <c r="D100" s="27">
        <v>1470.45</v>
      </c>
      <c r="E100" s="28">
        <f>$D:$D/$B:$B*100</f>
        <v>2.5986844430620453</v>
      </c>
      <c r="F100" s="28">
        <f>$D:$D/$C:$C*100</f>
        <v>77.1760124283585</v>
      </c>
      <c r="G100" s="27">
        <v>470.34</v>
      </c>
      <c r="H100" s="28">
        <f>$D:$D/$G:$G*100</f>
        <v>312.63554024748055</v>
      </c>
      <c r="I100" s="34">
        <f t="shared" si="3"/>
        <v>1470.45</v>
      </c>
    </row>
    <row r="101" spans="1:9" ht="12.75">
      <c r="A101" s="11" t="s">
        <v>115</v>
      </c>
      <c r="B101" s="33">
        <f>B102</f>
        <v>14079.44</v>
      </c>
      <c r="C101" s="33">
        <f>C102</f>
        <v>0</v>
      </c>
      <c r="D101" s="33">
        <f>D102</f>
        <v>0</v>
      </c>
      <c r="E101" s="25">
        <f>$D:$D/$B:$B*100</f>
        <v>0</v>
      </c>
      <c r="F101" s="25"/>
      <c r="G101" s="33">
        <v>0</v>
      </c>
      <c r="H101" s="25">
        <v>0</v>
      </c>
      <c r="I101" s="33">
        <f t="shared" si="3"/>
        <v>0</v>
      </c>
    </row>
    <row r="102" spans="1:9" ht="38.25">
      <c r="A102" s="39" t="s">
        <v>162</v>
      </c>
      <c r="B102" s="27">
        <v>14079.44</v>
      </c>
      <c r="C102" s="27">
        <v>0</v>
      </c>
      <c r="D102" s="27">
        <v>0</v>
      </c>
      <c r="E102" s="28">
        <f>$D:$D/$B:$B*100</f>
        <v>0</v>
      </c>
      <c r="F102" s="28"/>
      <c r="G102" s="34">
        <v>0</v>
      </c>
      <c r="H102" s="28">
        <v>0</v>
      </c>
      <c r="I102" s="34">
        <f t="shared" si="3"/>
        <v>0</v>
      </c>
    </row>
    <row r="103" spans="1:9" ht="12.75">
      <c r="A103" s="11" t="s">
        <v>41</v>
      </c>
      <c r="B103" s="33">
        <f>B104+B105+B107+B108+B109+B106</f>
        <v>1836803.2100000002</v>
      </c>
      <c r="C103" s="33">
        <f>C104+C105+C107+C108+C109+C106</f>
        <v>54807.35</v>
      </c>
      <c r="D103" s="33">
        <f>D104+D105+D107+D108+D109+D106</f>
        <v>53904.37</v>
      </c>
      <c r="E103" s="33">
        <f>E104+E105+E108+E109+E107</f>
        <v>10.541543408950634</v>
      </c>
      <c r="F103" s="33" t="e">
        <f>F104+F105+F108+F109+F107</f>
        <v>#DIV/0!</v>
      </c>
      <c r="G103" s="33">
        <v>45174.7</v>
      </c>
      <c r="H103" s="33">
        <f>H104+H105+H108+H109+H107</f>
        <v>468.4292580078612</v>
      </c>
      <c r="I103" s="33">
        <f t="shared" si="3"/>
        <v>53904.37</v>
      </c>
    </row>
    <row r="104" spans="1:9" ht="12.75">
      <c r="A104" s="8" t="s">
        <v>42</v>
      </c>
      <c r="B104" s="27">
        <v>707512.99</v>
      </c>
      <c r="C104" s="27">
        <v>22377.35</v>
      </c>
      <c r="D104" s="27">
        <v>22377.35</v>
      </c>
      <c r="E104" s="28">
        <f aca="true" t="shared" si="4" ref="E104:E122">$D:$D/$B:$B*100</f>
        <v>3.1628182544040637</v>
      </c>
      <c r="F104" s="28">
        <f aca="true" t="shared" si="5" ref="F104:F112">$D:$D/$C:$C*100</f>
        <v>100</v>
      </c>
      <c r="G104" s="27">
        <v>19160.43</v>
      </c>
      <c r="H104" s="28">
        <f>$D:$D/$G:$G*100</f>
        <v>116.78939355745146</v>
      </c>
      <c r="I104" s="34">
        <f t="shared" si="3"/>
        <v>22377.35</v>
      </c>
    </row>
    <row r="105" spans="1:9" ht="12.75">
      <c r="A105" s="8" t="s">
        <v>43</v>
      </c>
      <c r="B105" s="27">
        <v>739770.28</v>
      </c>
      <c r="C105" s="27">
        <v>21714.6</v>
      </c>
      <c r="D105" s="27">
        <v>21556.46</v>
      </c>
      <c r="E105" s="28">
        <f t="shared" si="4"/>
        <v>2.9139397165292986</v>
      </c>
      <c r="F105" s="28">
        <f t="shared" si="5"/>
        <v>99.27173422489938</v>
      </c>
      <c r="G105" s="27">
        <v>18625.82</v>
      </c>
      <c r="H105" s="28">
        <f>$D:$D/$G:$G*100</f>
        <v>115.73428713474092</v>
      </c>
      <c r="I105" s="34">
        <f t="shared" si="3"/>
        <v>21556.46</v>
      </c>
    </row>
    <row r="106" spans="1:9" ht="12.75">
      <c r="A106" s="21" t="s">
        <v>105</v>
      </c>
      <c r="B106" s="27">
        <v>145061.47</v>
      </c>
      <c r="C106" s="27">
        <v>3873.36</v>
      </c>
      <c r="D106" s="27">
        <v>3873.36</v>
      </c>
      <c r="E106" s="28">
        <f t="shared" si="4"/>
        <v>2.6701507988303166</v>
      </c>
      <c r="F106" s="28">
        <f t="shared" si="5"/>
        <v>100</v>
      </c>
      <c r="G106" s="27">
        <v>3197.11</v>
      </c>
      <c r="H106" s="28">
        <f>$D:$D/$G:$G*100</f>
        <v>121.15191532352657</v>
      </c>
      <c r="I106" s="34">
        <f t="shared" si="3"/>
        <v>3873.36</v>
      </c>
    </row>
    <row r="107" spans="1:9" ht="25.5">
      <c r="A107" s="8" t="s">
        <v>123</v>
      </c>
      <c r="B107" s="27">
        <v>389.35</v>
      </c>
      <c r="C107" s="27">
        <v>0</v>
      </c>
      <c r="D107" s="27">
        <v>0</v>
      </c>
      <c r="E107" s="28">
        <f t="shared" si="4"/>
        <v>0</v>
      </c>
      <c r="F107" s="28" t="e">
        <f t="shared" si="5"/>
        <v>#DIV/0!</v>
      </c>
      <c r="G107" s="27">
        <v>0</v>
      </c>
      <c r="H107" s="28">
        <v>0</v>
      </c>
      <c r="I107" s="34">
        <f t="shared" si="3"/>
        <v>0</v>
      </c>
    </row>
    <row r="108" spans="1:9" ht="12.75">
      <c r="A108" s="8" t="s">
        <v>44</v>
      </c>
      <c r="B108" s="27">
        <v>23178.76</v>
      </c>
      <c r="C108" s="27">
        <v>441.4</v>
      </c>
      <c r="D108" s="27">
        <v>441.4</v>
      </c>
      <c r="E108" s="28">
        <f t="shared" si="4"/>
        <v>1.9043296535276262</v>
      </c>
      <c r="F108" s="28">
        <f t="shared" si="5"/>
        <v>100</v>
      </c>
      <c r="G108" s="27">
        <v>546.84</v>
      </c>
      <c r="H108" s="28">
        <f>$D:$D/$G:$G*100</f>
        <v>80.71830882890791</v>
      </c>
      <c r="I108" s="34">
        <f t="shared" si="3"/>
        <v>441.4</v>
      </c>
    </row>
    <row r="109" spans="1:9" ht="12.75">
      <c r="A109" s="8" t="s">
        <v>45</v>
      </c>
      <c r="B109" s="27">
        <v>220890.36</v>
      </c>
      <c r="C109" s="27">
        <v>6400.64</v>
      </c>
      <c r="D109" s="27">
        <v>5655.8</v>
      </c>
      <c r="E109" s="28">
        <f t="shared" si="4"/>
        <v>2.560455784489645</v>
      </c>
      <c r="F109" s="28">
        <f t="shared" si="5"/>
        <v>88.36303869613037</v>
      </c>
      <c r="G109" s="27">
        <v>3644.5</v>
      </c>
      <c r="H109" s="28">
        <f>$D:$D/$G:$G*100</f>
        <v>155.18726848676087</v>
      </c>
      <c r="I109" s="34">
        <f t="shared" si="3"/>
        <v>5655.8</v>
      </c>
    </row>
    <row r="110" spans="1:9" ht="25.5">
      <c r="A110" s="11" t="s">
        <v>46</v>
      </c>
      <c r="B110" s="33">
        <f>B111+B112</f>
        <v>307721.82</v>
      </c>
      <c r="C110" s="33">
        <f>C111+C112</f>
        <v>5113.9</v>
      </c>
      <c r="D110" s="33">
        <f>D111+D112</f>
        <v>5108.65</v>
      </c>
      <c r="E110" s="25">
        <f t="shared" si="4"/>
        <v>1.6601520165193353</v>
      </c>
      <c r="F110" s="25">
        <f t="shared" si="5"/>
        <v>99.8973386260975</v>
      </c>
      <c r="G110" s="33">
        <v>3397</v>
      </c>
      <c r="H110" s="25">
        <f>$D:$D/$G:$G*100</f>
        <v>150.38710627023843</v>
      </c>
      <c r="I110" s="33">
        <f t="shared" si="3"/>
        <v>5108.65</v>
      </c>
    </row>
    <row r="111" spans="1:9" ht="12.75">
      <c r="A111" s="8" t="s">
        <v>47</v>
      </c>
      <c r="B111" s="27">
        <v>219701.1</v>
      </c>
      <c r="C111" s="27">
        <v>5020.7</v>
      </c>
      <c r="D111" s="27">
        <v>5020.7</v>
      </c>
      <c r="E111" s="28">
        <f t="shared" si="4"/>
        <v>2.285241175396937</v>
      </c>
      <c r="F111" s="28">
        <f t="shared" si="5"/>
        <v>100</v>
      </c>
      <c r="G111" s="27">
        <v>3340</v>
      </c>
      <c r="H111" s="28">
        <f>$D:$D/$G:$G*100</f>
        <v>150.32035928143713</v>
      </c>
      <c r="I111" s="34">
        <f t="shared" si="3"/>
        <v>5020.7</v>
      </c>
    </row>
    <row r="112" spans="1:9" ht="25.5">
      <c r="A112" s="8" t="s">
        <v>48</v>
      </c>
      <c r="B112" s="27">
        <v>88020.72</v>
      </c>
      <c r="C112" s="27">
        <v>93.2</v>
      </c>
      <c r="D112" s="27">
        <v>87.95</v>
      </c>
      <c r="E112" s="28">
        <f t="shared" si="4"/>
        <v>0.09991965528116561</v>
      </c>
      <c r="F112" s="28">
        <f t="shared" si="5"/>
        <v>94.36695278969958</v>
      </c>
      <c r="G112" s="27">
        <v>57</v>
      </c>
      <c r="H112" s="28">
        <v>0</v>
      </c>
      <c r="I112" s="34">
        <f t="shared" si="3"/>
        <v>87.95</v>
      </c>
    </row>
    <row r="113" spans="1:9" ht="12.75">
      <c r="A113" s="11" t="s">
        <v>97</v>
      </c>
      <c r="B113" s="33">
        <f>B114</f>
        <v>127.01</v>
      </c>
      <c r="C113" s="33">
        <f>C114</f>
        <v>0</v>
      </c>
      <c r="D113" s="33">
        <f>D114</f>
        <v>0</v>
      </c>
      <c r="E113" s="25">
        <f t="shared" si="4"/>
        <v>0</v>
      </c>
      <c r="F113" s="25">
        <v>0</v>
      </c>
      <c r="G113" s="33">
        <v>0</v>
      </c>
      <c r="H113" s="25">
        <v>0</v>
      </c>
      <c r="I113" s="34">
        <f t="shared" si="3"/>
        <v>0</v>
      </c>
    </row>
    <row r="114" spans="1:9" ht="12.75">
      <c r="A114" s="8" t="s">
        <v>98</v>
      </c>
      <c r="B114" s="27">
        <v>127.01</v>
      </c>
      <c r="C114" s="27">
        <v>0</v>
      </c>
      <c r="D114" s="27">
        <v>0</v>
      </c>
      <c r="E114" s="28">
        <f t="shared" si="4"/>
        <v>0</v>
      </c>
      <c r="F114" s="28">
        <v>0</v>
      </c>
      <c r="G114" s="34">
        <v>0</v>
      </c>
      <c r="H114" s="28">
        <v>0</v>
      </c>
      <c r="I114" s="34">
        <f t="shared" si="3"/>
        <v>0</v>
      </c>
    </row>
    <row r="115" spans="1:9" ht="12.75">
      <c r="A115" s="11" t="s">
        <v>49</v>
      </c>
      <c r="B115" s="33">
        <f>B116+B117+B118+B119+B120</f>
        <v>157916.22999999998</v>
      </c>
      <c r="C115" s="33">
        <f>C116+C117+C118+C119+C120</f>
        <v>776.78</v>
      </c>
      <c r="D115" s="33">
        <f>D116+D117+D118+D119+D120</f>
        <v>704.29</v>
      </c>
      <c r="E115" s="25">
        <f t="shared" si="4"/>
        <v>0.44598962373911794</v>
      </c>
      <c r="F115" s="25">
        <f>$D:$D/$C:$C*100</f>
        <v>90.66788537294987</v>
      </c>
      <c r="G115" s="33">
        <v>1872.3899999999999</v>
      </c>
      <c r="H115" s="25">
        <v>0</v>
      </c>
      <c r="I115" s="34">
        <f t="shared" si="3"/>
        <v>704.29</v>
      </c>
    </row>
    <row r="116" spans="1:9" ht="12.75">
      <c r="A116" s="8" t="s">
        <v>50</v>
      </c>
      <c r="B116" s="27">
        <v>3025.38</v>
      </c>
      <c r="C116" s="27">
        <v>0</v>
      </c>
      <c r="D116" s="27">
        <v>0</v>
      </c>
      <c r="E116" s="28">
        <f t="shared" si="4"/>
        <v>0</v>
      </c>
      <c r="F116" s="28">
        <v>0</v>
      </c>
      <c r="G116" s="34">
        <v>0</v>
      </c>
      <c r="H116" s="28">
        <v>0</v>
      </c>
      <c r="I116" s="34">
        <f t="shared" si="3"/>
        <v>0</v>
      </c>
    </row>
    <row r="117" spans="1:9" ht="12.75" customHeight="1" hidden="1">
      <c r="A117" s="8" t="s">
        <v>51</v>
      </c>
      <c r="B117" s="27"/>
      <c r="C117" s="27"/>
      <c r="D117" s="27"/>
      <c r="E117" s="28" t="e">
        <f t="shared" si="4"/>
        <v>#DIV/0!</v>
      </c>
      <c r="F117" s="28" t="e">
        <f>$D:$D/$C:$C*100</f>
        <v>#DIV/0!</v>
      </c>
      <c r="G117" s="34"/>
      <c r="H117" s="28" t="e">
        <f>$D:$D/$G:$G*100</f>
        <v>#DIV/0!</v>
      </c>
      <c r="I117" s="34">
        <f t="shared" si="3"/>
        <v>0</v>
      </c>
    </row>
    <row r="118" spans="1:9" ht="12.75">
      <c r="A118" s="8" t="s">
        <v>52</v>
      </c>
      <c r="B118" s="27">
        <v>102910.55</v>
      </c>
      <c r="C118" s="27">
        <v>357</v>
      </c>
      <c r="D118" s="27">
        <v>357</v>
      </c>
      <c r="E118" s="28">
        <f t="shared" si="4"/>
        <v>0.3469032086603365</v>
      </c>
      <c r="F118" s="28">
        <f>$D:$D/$C:$C*100</f>
        <v>100</v>
      </c>
      <c r="G118" s="27">
        <v>1587</v>
      </c>
      <c r="H118" s="28">
        <v>0</v>
      </c>
      <c r="I118" s="34">
        <f t="shared" si="3"/>
        <v>357</v>
      </c>
    </row>
    <row r="119" spans="1:9" ht="12.75">
      <c r="A119" s="8" t="s">
        <v>53</v>
      </c>
      <c r="B119" s="27">
        <v>49450.5</v>
      </c>
      <c r="C119" s="27">
        <v>315</v>
      </c>
      <c r="D119" s="27">
        <v>310</v>
      </c>
      <c r="E119" s="28">
        <f t="shared" si="4"/>
        <v>0.6268895157784047</v>
      </c>
      <c r="F119" s="28">
        <v>0</v>
      </c>
      <c r="G119" s="27">
        <v>255.39</v>
      </c>
      <c r="H119" s="28">
        <v>0</v>
      </c>
      <c r="I119" s="34">
        <f t="shared" si="3"/>
        <v>310</v>
      </c>
    </row>
    <row r="120" spans="1:9" ht="12.75">
      <c r="A120" s="8" t="s">
        <v>54</v>
      </c>
      <c r="B120" s="27">
        <v>2529.8</v>
      </c>
      <c r="C120" s="27">
        <v>104.78</v>
      </c>
      <c r="D120" s="27">
        <v>37.29</v>
      </c>
      <c r="E120" s="28">
        <f t="shared" si="4"/>
        <v>1.4740295675547472</v>
      </c>
      <c r="F120" s="28">
        <f>$D:$D/$C:$C*100</f>
        <v>35.588852834510405</v>
      </c>
      <c r="G120" s="27">
        <v>30</v>
      </c>
      <c r="H120" s="28">
        <f>$D:$D/$G:$G*100</f>
        <v>124.29999999999998</v>
      </c>
      <c r="I120" s="34">
        <f t="shared" si="3"/>
        <v>37.29</v>
      </c>
    </row>
    <row r="121" spans="1:9" ht="12.75">
      <c r="A121" s="11" t="s">
        <v>61</v>
      </c>
      <c r="B121" s="26">
        <f>B122+B123+B124</f>
        <v>351568.69</v>
      </c>
      <c r="C121" s="27">
        <f>C122+C123+C124</f>
        <v>5499.139999999999</v>
      </c>
      <c r="D121" s="27">
        <f>D122+D123+D124</f>
        <v>5375.37</v>
      </c>
      <c r="E121" s="25">
        <f t="shared" si="4"/>
        <v>1.5289672126377352</v>
      </c>
      <c r="F121" s="25">
        <f>$D:$D/$C:$C*100</f>
        <v>97.74928443356599</v>
      </c>
      <c r="G121" s="27">
        <v>3852.2200000000003</v>
      </c>
      <c r="H121" s="25">
        <f>$D:$D/$G:$G*100</f>
        <v>139.53953824028738</v>
      </c>
      <c r="I121" s="34">
        <f t="shared" si="3"/>
        <v>5375.37</v>
      </c>
    </row>
    <row r="122" spans="1:9" ht="12.75">
      <c r="A122" s="82" t="s">
        <v>63</v>
      </c>
      <c r="B122" s="27">
        <v>290769.31</v>
      </c>
      <c r="C122" s="27">
        <v>3278.66</v>
      </c>
      <c r="D122" s="27">
        <v>3278.66</v>
      </c>
      <c r="E122" s="28">
        <f t="shared" si="4"/>
        <v>1.1275811742305266</v>
      </c>
      <c r="F122" s="28">
        <f>$D:$D/$C:$C*100</f>
        <v>100</v>
      </c>
      <c r="G122" s="27">
        <v>3680.44</v>
      </c>
      <c r="H122" s="28">
        <v>0</v>
      </c>
      <c r="I122" s="34">
        <f t="shared" si="3"/>
        <v>3278.66</v>
      </c>
    </row>
    <row r="123" spans="1:9" ht="24.75" customHeight="1">
      <c r="A123" s="82" t="s">
        <v>154</v>
      </c>
      <c r="B123" s="27">
        <v>55775.05</v>
      </c>
      <c r="C123" s="27">
        <v>1839.46</v>
      </c>
      <c r="D123" s="27">
        <v>1839.46</v>
      </c>
      <c r="E123" s="28">
        <v>0</v>
      </c>
      <c r="F123" s="28">
        <v>0</v>
      </c>
      <c r="G123" s="27">
        <v>91</v>
      </c>
      <c r="H123" s="28">
        <v>0</v>
      </c>
      <c r="I123" s="34">
        <f t="shared" si="3"/>
        <v>1839.46</v>
      </c>
    </row>
    <row r="124" spans="1:9" ht="25.5">
      <c r="A124" s="12" t="s">
        <v>73</v>
      </c>
      <c r="B124" s="27">
        <v>5024.33</v>
      </c>
      <c r="C124" s="27">
        <v>381.02</v>
      </c>
      <c r="D124" s="27">
        <v>257.25</v>
      </c>
      <c r="E124" s="28">
        <f>$D:$D/$B:$B*100</f>
        <v>5.1200856631630485</v>
      </c>
      <c r="F124" s="28">
        <f>$D:$D/$C:$C*100</f>
        <v>67.51614088499292</v>
      </c>
      <c r="G124" s="27">
        <v>80.78</v>
      </c>
      <c r="H124" s="28">
        <v>0</v>
      </c>
      <c r="I124" s="34">
        <f t="shared" si="3"/>
        <v>257.25</v>
      </c>
    </row>
    <row r="125" spans="1:9" ht="26.25" customHeight="1">
      <c r="A125" s="13" t="s">
        <v>80</v>
      </c>
      <c r="B125" s="26">
        <f>B126</f>
        <v>100</v>
      </c>
      <c r="C125" s="26">
        <f>C126</f>
        <v>0</v>
      </c>
      <c r="D125" s="26">
        <f>D126</f>
        <v>0</v>
      </c>
      <c r="E125" s="28">
        <f>$D:$D/$B:$B*100</f>
        <v>0</v>
      </c>
      <c r="F125" s="28">
        <v>0</v>
      </c>
      <c r="G125" s="26">
        <v>0</v>
      </c>
      <c r="H125" s="28">
        <v>0</v>
      </c>
      <c r="I125" s="34">
        <f t="shared" si="3"/>
        <v>0</v>
      </c>
    </row>
    <row r="126" spans="1:9" ht="13.5" customHeight="1">
      <c r="A126" s="12" t="s">
        <v>81</v>
      </c>
      <c r="B126" s="27">
        <v>100</v>
      </c>
      <c r="C126" s="27">
        <v>0</v>
      </c>
      <c r="D126" s="27">
        <v>0</v>
      </c>
      <c r="E126" s="28">
        <f>$D:$D/$B:$B*100</f>
        <v>0</v>
      </c>
      <c r="F126" s="28">
        <v>0</v>
      </c>
      <c r="G126" s="27">
        <v>0</v>
      </c>
      <c r="H126" s="28">
        <v>0</v>
      </c>
      <c r="I126" s="34">
        <f t="shared" si="3"/>
        <v>0</v>
      </c>
    </row>
    <row r="127" spans="1:9" ht="15.75" customHeight="1">
      <c r="A127" s="14" t="s">
        <v>55</v>
      </c>
      <c r="B127" s="33">
        <f>B79+B88+B89+B90+B96+B103+B110+B113+B115+B121+B125+B101</f>
        <v>3657751.9699999997</v>
      </c>
      <c r="C127" s="33">
        <f>C79+C88+C89+C90+C96+C103+C110+C113+C115+C121+C125+C101</f>
        <v>81247.70999999999</v>
      </c>
      <c r="D127" s="33">
        <f>D79+D88+D89+D90+D96+D103+D110+D113+D115+D121+D125+D101</f>
        <v>74919.05999999998</v>
      </c>
      <c r="E127" s="25">
        <f>$D:$D/$B:$B*100</f>
        <v>2.0482269058828497</v>
      </c>
      <c r="F127" s="25">
        <f>$D:$D/$C:$C*100</f>
        <v>92.21067276850017</v>
      </c>
      <c r="G127" s="33">
        <v>60157.77</v>
      </c>
      <c r="H127" s="25">
        <f>$D:$D/$G:$G*100</f>
        <v>124.53762830636839</v>
      </c>
      <c r="I127" s="33">
        <f>I79+I88+I89+I90+I96+I103+I110+I113+I115+I121+I125</f>
        <v>74966.49999999999</v>
      </c>
    </row>
    <row r="128" spans="1:9" ht="26.25" customHeight="1">
      <c r="A128" s="79" t="s">
        <v>56</v>
      </c>
      <c r="B128" s="80">
        <f>B73-B127</f>
        <v>-125350.25999999978</v>
      </c>
      <c r="C128" s="80">
        <f>C73-C127</f>
        <v>-41683.89</v>
      </c>
      <c r="D128" s="80">
        <f>D73-D127</f>
        <v>-29569.47999999998</v>
      </c>
      <c r="E128" s="80"/>
      <c r="F128" s="80"/>
      <c r="G128" s="80">
        <v>640.2067800000077</v>
      </c>
      <c r="H128" s="80"/>
      <c r="I128" s="80">
        <f>I73-I127</f>
        <v>-29616.919999999984</v>
      </c>
    </row>
    <row r="129" spans="1:9" ht="24" customHeight="1">
      <c r="A129" s="1" t="s">
        <v>57</v>
      </c>
      <c r="B129" s="27" t="s">
        <v>159</v>
      </c>
      <c r="C129" s="27"/>
      <c r="D129" s="27" t="s">
        <v>157</v>
      </c>
      <c r="E129" s="27"/>
      <c r="F129" s="27"/>
      <c r="G129" s="27" t="s">
        <v>161</v>
      </c>
      <c r="H129" s="26"/>
      <c r="I129" s="27"/>
    </row>
    <row r="130" spans="1:9" ht="12.75">
      <c r="A130" s="3" t="s">
        <v>58</v>
      </c>
      <c r="B130" s="77">
        <f>B132+B133</f>
        <v>99223.6</v>
      </c>
      <c r="C130" s="77">
        <f>C132+C133</f>
        <v>0</v>
      </c>
      <c r="D130" s="77">
        <f>D132+D133</f>
        <v>69654.1</v>
      </c>
      <c r="E130" s="27"/>
      <c r="F130" s="27"/>
      <c r="G130" s="26">
        <v>43511.9</v>
      </c>
      <c r="H130" s="35"/>
      <c r="I130" s="26">
        <f>I132+I133</f>
        <v>69654.1</v>
      </c>
    </row>
    <row r="131" spans="1:9" ht="12" customHeight="1">
      <c r="A131" s="1" t="s">
        <v>6</v>
      </c>
      <c r="B131" s="78"/>
      <c r="C131" s="27"/>
      <c r="D131" s="27"/>
      <c r="E131" s="27"/>
      <c r="F131" s="27"/>
      <c r="G131" s="27"/>
      <c r="H131" s="35"/>
      <c r="I131" s="27"/>
    </row>
    <row r="132" spans="1:9" ht="12.75">
      <c r="A132" s="5" t="s">
        <v>59</v>
      </c>
      <c r="B132" s="78">
        <v>53815.7</v>
      </c>
      <c r="C132" s="27"/>
      <c r="D132" s="27">
        <v>686.9</v>
      </c>
      <c r="E132" s="27"/>
      <c r="F132" s="27"/>
      <c r="G132" s="27">
        <v>814.3</v>
      </c>
      <c r="H132" s="35"/>
      <c r="I132" s="27">
        <f>D132</f>
        <v>686.9</v>
      </c>
    </row>
    <row r="133" spans="1:9" ht="12.75">
      <c r="A133" s="1" t="s">
        <v>60</v>
      </c>
      <c r="B133" s="78">
        <f>99223.6-B132</f>
        <v>45407.90000000001</v>
      </c>
      <c r="C133" s="27"/>
      <c r="D133" s="27">
        <f>69654.1-D132</f>
        <v>68967.20000000001</v>
      </c>
      <c r="E133" s="27"/>
      <c r="F133" s="27"/>
      <c r="G133" s="27">
        <v>42697.6</v>
      </c>
      <c r="H133" s="35"/>
      <c r="I133" s="27">
        <f>D133</f>
        <v>68967.20000000001</v>
      </c>
    </row>
    <row r="134" spans="1:9" ht="12.75">
      <c r="A134" s="3" t="s">
        <v>99</v>
      </c>
      <c r="B134" s="26">
        <f>B135-B136</f>
        <v>22950</v>
      </c>
      <c r="C134" s="26">
        <f>C135-C136</f>
        <v>0</v>
      </c>
      <c r="D134" s="26">
        <f>D135-D136</f>
        <v>0</v>
      </c>
      <c r="E134" s="26"/>
      <c r="F134" s="26"/>
      <c r="G134" s="26">
        <v>0</v>
      </c>
      <c r="H134" s="81"/>
      <c r="I134" s="26"/>
    </row>
    <row r="135" spans="1:9" ht="12.75">
      <c r="A135" s="2" t="s">
        <v>100</v>
      </c>
      <c r="B135" s="27">
        <v>35000</v>
      </c>
      <c r="C135" s="27">
        <v>0</v>
      </c>
      <c r="D135" s="27">
        <v>0</v>
      </c>
      <c r="E135" s="27"/>
      <c r="F135" s="27"/>
      <c r="G135" s="27">
        <v>0</v>
      </c>
      <c r="H135" s="35"/>
      <c r="I135" s="27">
        <v>0</v>
      </c>
    </row>
    <row r="136" spans="1:9" ht="12.75">
      <c r="A136" s="2" t="s">
        <v>101</v>
      </c>
      <c r="B136" s="27">
        <v>12050</v>
      </c>
      <c r="C136" s="27">
        <v>0</v>
      </c>
      <c r="D136" s="27">
        <v>0</v>
      </c>
      <c r="E136" s="27"/>
      <c r="F136" s="27"/>
      <c r="G136" s="27">
        <v>0</v>
      </c>
      <c r="H136" s="35"/>
      <c r="I136" s="27">
        <v>0</v>
      </c>
    </row>
    <row r="137" spans="1:9" ht="12.75">
      <c r="A137" s="15"/>
      <c r="B137" s="24"/>
      <c r="C137" s="24"/>
      <c r="D137" s="24"/>
      <c r="E137" s="24"/>
      <c r="F137" s="24"/>
      <c r="G137" s="24"/>
      <c r="H137" s="24"/>
      <c r="I137" s="24"/>
    </row>
    <row r="139" ht="12" customHeight="1">
      <c r="A139" s="21" t="s">
        <v>79</v>
      </c>
    </row>
    <row r="140" ht="12.75" customHeight="1" hidden="1"/>
    <row r="142" spans="1:9" ht="31.5">
      <c r="A142" s="16" t="s">
        <v>103</v>
      </c>
      <c r="B142" s="23"/>
      <c r="C142" s="23"/>
      <c r="D142" s="23" t="s">
        <v>137</v>
      </c>
      <c r="E142" s="23"/>
      <c r="F142" s="23"/>
      <c r="G142" s="23"/>
      <c r="H142" s="23"/>
      <c r="I142" s="24"/>
    </row>
  </sheetData>
  <sheetProtection/>
  <mergeCells count="5">
    <mergeCell ref="A78:I78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5"/>
  <sheetViews>
    <sheetView zoomScaleSheetLayoutView="100" zoomScalePageLayoutView="0" workbookViewId="0" topLeftCell="A1">
      <pane xSplit="1" ySplit="6" topLeftCell="B1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07" sqref="D107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85" customWidth="1"/>
    <col min="8" max="8" width="11.875" style="22" customWidth="1"/>
    <col min="9" max="9" width="10.00390625" style="22" customWidth="1"/>
    <col min="10" max="10" width="9.125" style="21" customWidth="1"/>
    <col min="11" max="13" width="10.00390625" style="21" bestFit="1" customWidth="1"/>
    <col min="14" max="16384" width="9.125" style="21" customWidth="1"/>
  </cols>
  <sheetData>
    <row r="1" spans="1:9" ht="12.75">
      <c r="A1" s="117" t="s">
        <v>102</v>
      </c>
      <c r="B1" s="117"/>
      <c r="C1" s="117"/>
      <c r="D1" s="117"/>
      <c r="E1" s="117"/>
      <c r="F1" s="117"/>
      <c r="G1" s="117"/>
      <c r="H1" s="117"/>
      <c r="I1" s="86"/>
    </row>
    <row r="2" spans="1:9" ht="12.75">
      <c r="A2" s="118" t="s">
        <v>192</v>
      </c>
      <c r="B2" s="118"/>
      <c r="C2" s="118"/>
      <c r="D2" s="118"/>
      <c r="E2" s="118"/>
      <c r="F2" s="118"/>
      <c r="G2" s="118"/>
      <c r="H2" s="118"/>
      <c r="I2" s="87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1"/>
    </row>
    <row r="4" spans="1:9" ht="45" customHeight="1">
      <c r="A4" s="4" t="s">
        <v>1</v>
      </c>
      <c r="B4" s="17" t="s">
        <v>2</v>
      </c>
      <c r="C4" s="17" t="s">
        <v>193</v>
      </c>
      <c r="D4" s="17" t="s">
        <v>68</v>
      </c>
      <c r="E4" s="17" t="s">
        <v>66</v>
      </c>
      <c r="F4" s="17" t="s">
        <v>69</v>
      </c>
      <c r="G4" s="101" t="s">
        <v>156</v>
      </c>
      <c r="H4" s="17" t="s">
        <v>65</v>
      </c>
      <c r="I4" s="17" t="s">
        <v>71</v>
      </c>
    </row>
    <row r="5" spans="1:9" ht="12.75">
      <c r="A5" s="88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ht="12.75">
      <c r="A6" s="119" t="s">
        <v>3</v>
      </c>
      <c r="B6" s="119"/>
      <c r="C6" s="119"/>
      <c r="D6" s="119"/>
      <c r="E6" s="119"/>
      <c r="F6" s="119"/>
      <c r="G6" s="119"/>
      <c r="H6" s="119"/>
      <c r="I6" s="120"/>
    </row>
    <row r="7" spans="1:9" ht="12.75">
      <c r="A7" s="46" t="s">
        <v>104</v>
      </c>
      <c r="B7" s="33">
        <f>B8+B18+B23+B28+B31+B39+B48+B49+B50+B54+B65</f>
        <v>804986.74</v>
      </c>
      <c r="C7" s="33">
        <f>C8+C18+C23+C28+C31+C39+C48+C49+C50+C54+C65</f>
        <v>547707.93</v>
      </c>
      <c r="D7" s="33">
        <f>D8+D18+D23+D28+D31+D39+D48+D49+D50+D54+D65+D38</f>
        <v>599491.2499999999</v>
      </c>
      <c r="E7" s="25">
        <f>D7/B7*100</f>
        <v>74.47218944252421</v>
      </c>
      <c r="F7" s="25">
        <v>27699.089999999997</v>
      </c>
      <c r="G7" s="33">
        <v>572460.6999999998</v>
      </c>
      <c r="H7" s="25">
        <f>C7/G7*100</f>
        <v>95.67607523101589</v>
      </c>
      <c r="I7" s="33">
        <f>D7-сентябрь!D7</f>
        <v>89637.96999999991</v>
      </c>
    </row>
    <row r="8" spans="1:9" ht="12.75">
      <c r="A8" s="47" t="s">
        <v>4</v>
      </c>
      <c r="B8" s="25">
        <f>B9+B10</f>
        <v>373116.63</v>
      </c>
      <c r="C8" s="25">
        <f>C9+C10</f>
        <v>269851</v>
      </c>
      <c r="D8" s="25">
        <f>D9+D10</f>
        <v>304731.3</v>
      </c>
      <c r="E8" s="25">
        <f aca="true" t="shared" si="0" ref="E8:E74">D8/B8*100</f>
        <v>81.6718622271004</v>
      </c>
      <c r="F8" s="25">
        <v>10645.39</v>
      </c>
      <c r="G8" s="25">
        <v>299871.9</v>
      </c>
      <c r="H8" s="25">
        <f aca="true" t="shared" si="1" ref="H8:H74">C8/G8*100</f>
        <v>89.98875853322701</v>
      </c>
      <c r="I8" s="33">
        <f>D8-сентябрь!D8</f>
        <v>35542.15000000002</v>
      </c>
    </row>
    <row r="9" spans="1:9" ht="25.5">
      <c r="A9" s="54" t="s">
        <v>5</v>
      </c>
      <c r="B9" s="27">
        <v>8631</v>
      </c>
      <c r="C9" s="27">
        <v>8631</v>
      </c>
      <c r="D9" s="27">
        <v>17125.66</v>
      </c>
      <c r="E9" s="27">
        <f t="shared" si="0"/>
        <v>198.4203452670606</v>
      </c>
      <c r="F9" s="25">
        <v>200.86</v>
      </c>
      <c r="G9" s="26">
        <v>7435</v>
      </c>
      <c r="H9" s="25">
        <f t="shared" si="1"/>
        <v>116.08607935440484</v>
      </c>
      <c r="I9" s="33">
        <f>D9-сентябрь!D9</f>
        <v>4261.48</v>
      </c>
    </row>
    <row r="10" spans="1:9" ht="12.75" customHeight="1">
      <c r="A10" s="54" t="s">
        <v>70</v>
      </c>
      <c r="B10" s="33">
        <f>SUM(B11:B16)</f>
        <v>364485.63</v>
      </c>
      <c r="C10" s="33">
        <f>SUM(C11:C16)</f>
        <v>261220</v>
      </c>
      <c r="D10" s="33">
        <f>SUM(D11:D17)</f>
        <v>287605.64</v>
      </c>
      <c r="E10" s="25">
        <f t="shared" si="0"/>
        <v>78.90726446471977</v>
      </c>
      <c r="F10" s="25">
        <v>10444.529999999999</v>
      </c>
      <c r="G10" s="42">
        <v>292437</v>
      </c>
      <c r="H10" s="25">
        <f t="shared" si="1"/>
        <v>89.32522218460728</v>
      </c>
      <c r="I10" s="33">
        <f>D10-сентябрь!D10</f>
        <v>31280.670000000042</v>
      </c>
    </row>
    <row r="11" spans="1:9" ht="51">
      <c r="A11" s="51" t="s">
        <v>74</v>
      </c>
      <c r="B11" s="27">
        <v>344651.23</v>
      </c>
      <c r="C11" s="27">
        <v>243000</v>
      </c>
      <c r="D11" s="27">
        <v>263019.2</v>
      </c>
      <c r="E11" s="27">
        <f t="shared" si="0"/>
        <v>76.31459780369855</v>
      </c>
      <c r="F11" s="27">
        <v>10058</v>
      </c>
      <c r="G11" s="27">
        <v>231611.6</v>
      </c>
      <c r="H11" s="25">
        <f t="shared" si="1"/>
        <v>104.91702488130991</v>
      </c>
      <c r="I11" s="33">
        <f>D11-сентябрь!D11</f>
        <v>28602.430000000022</v>
      </c>
    </row>
    <row r="12" spans="1:9" ht="51" customHeight="1">
      <c r="A12" s="51" t="s">
        <v>75</v>
      </c>
      <c r="B12" s="27">
        <v>1745</v>
      </c>
      <c r="C12" s="27">
        <v>1491</v>
      </c>
      <c r="D12" s="27">
        <v>3372.32</v>
      </c>
      <c r="E12" s="27">
        <f t="shared" si="0"/>
        <v>193.25616045845274</v>
      </c>
      <c r="F12" s="27">
        <v>81.56</v>
      </c>
      <c r="G12" s="27">
        <v>1090.7</v>
      </c>
      <c r="H12" s="25">
        <f t="shared" si="1"/>
        <v>136.70120106353718</v>
      </c>
      <c r="I12" s="33">
        <f>D12-сентябрь!D12</f>
        <v>386.6100000000001</v>
      </c>
    </row>
    <row r="13" spans="1:9" ht="25.5">
      <c r="A13" s="51" t="s">
        <v>76</v>
      </c>
      <c r="B13" s="27">
        <v>5600.4</v>
      </c>
      <c r="C13" s="27">
        <v>5330</v>
      </c>
      <c r="D13" s="27">
        <v>5133.49</v>
      </c>
      <c r="E13" s="27">
        <f t="shared" si="0"/>
        <v>91.66291693450468</v>
      </c>
      <c r="F13" s="27">
        <v>117.15</v>
      </c>
      <c r="G13" s="27">
        <v>4765.9</v>
      </c>
      <c r="H13" s="25">
        <f t="shared" si="1"/>
        <v>111.83616945382823</v>
      </c>
      <c r="I13" s="33">
        <f>D13-сентябрь!D13</f>
        <v>238.8800000000001</v>
      </c>
    </row>
    <row r="14" spans="1:9" ht="63.75">
      <c r="A14" s="51" t="s">
        <v>78</v>
      </c>
      <c r="B14" s="27">
        <v>3850</v>
      </c>
      <c r="C14" s="27">
        <v>3260</v>
      </c>
      <c r="D14" s="27">
        <v>3035.52</v>
      </c>
      <c r="E14" s="27">
        <f t="shared" si="0"/>
        <v>78.84467532467532</v>
      </c>
      <c r="F14" s="27">
        <v>187.82</v>
      </c>
      <c r="G14" s="27">
        <v>3184</v>
      </c>
      <c r="H14" s="25">
        <f t="shared" si="1"/>
        <v>102.38693467336684</v>
      </c>
      <c r="I14" s="33">
        <f>D14-сентябрь!D14</f>
        <v>279.09000000000015</v>
      </c>
    </row>
    <row r="15" spans="1:9" ht="37.5" customHeight="1">
      <c r="A15" s="51" t="s">
        <v>145</v>
      </c>
      <c r="B15" s="27">
        <v>8639</v>
      </c>
      <c r="C15" s="27">
        <v>8139</v>
      </c>
      <c r="D15" s="27">
        <v>8528.78</v>
      </c>
      <c r="E15" s="27">
        <f t="shared" si="0"/>
        <v>98.72415788864453</v>
      </c>
      <c r="F15" s="27"/>
      <c r="G15" s="34">
        <v>51784.8</v>
      </c>
      <c r="H15" s="25">
        <f t="shared" si="1"/>
        <v>15.716967140937108</v>
      </c>
      <c r="I15" s="33">
        <f>D15-сентябрь!D15</f>
        <v>134.1200000000008</v>
      </c>
    </row>
    <row r="16" spans="1:9" ht="53.25" customHeight="1">
      <c r="A16" s="51" t="s">
        <v>164</v>
      </c>
      <c r="B16" s="27">
        <v>0</v>
      </c>
      <c r="C16" s="27">
        <v>0</v>
      </c>
      <c r="D16" s="27">
        <v>3476.23</v>
      </c>
      <c r="E16" s="27">
        <v>0</v>
      </c>
      <c r="F16" s="27"/>
      <c r="G16" s="33">
        <v>0</v>
      </c>
      <c r="H16" s="25">
        <v>0</v>
      </c>
      <c r="I16" s="33">
        <f>D16-сентябрь!D16</f>
        <v>599.44</v>
      </c>
    </row>
    <row r="17" spans="1:9" ht="53.25" customHeight="1">
      <c r="A17" s="51" t="s">
        <v>194</v>
      </c>
      <c r="B17" s="27">
        <v>0</v>
      </c>
      <c r="C17" s="27">
        <v>0</v>
      </c>
      <c r="D17" s="27">
        <v>1040.1</v>
      </c>
      <c r="E17" s="27">
        <v>0</v>
      </c>
      <c r="F17" s="27"/>
      <c r="G17" s="33">
        <v>0</v>
      </c>
      <c r="H17" s="25">
        <v>0</v>
      </c>
      <c r="I17" s="33">
        <v>0</v>
      </c>
    </row>
    <row r="18" spans="1:9" ht="39.75" customHeight="1">
      <c r="A18" s="53" t="s">
        <v>82</v>
      </c>
      <c r="B18" s="26">
        <f>SUM(B19:B22)</f>
        <v>59089.46000000001</v>
      </c>
      <c r="C18" s="26">
        <f>SUM(C19:C22)</f>
        <v>49975</v>
      </c>
      <c r="D18" s="26">
        <f>SUM(D19:D22)</f>
        <v>56398.66</v>
      </c>
      <c r="E18" s="25">
        <f t="shared" si="0"/>
        <v>95.44622678900771</v>
      </c>
      <c r="F18" s="25">
        <v>1853.18</v>
      </c>
      <c r="G18" s="26">
        <v>53580.1</v>
      </c>
      <c r="H18" s="25">
        <f t="shared" si="1"/>
        <v>93.27156910868027</v>
      </c>
      <c r="I18" s="33">
        <f>D18-сентябрь!D17</f>
        <v>6639.80000000001</v>
      </c>
    </row>
    <row r="19" spans="1:9" ht="37.5" customHeight="1">
      <c r="A19" s="37" t="s">
        <v>83</v>
      </c>
      <c r="B19" s="27">
        <v>27987.73</v>
      </c>
      <c r="C19" s="27">
        <v>23245</v>
      </c>
      <c r="D19" s="27">
        <v>28998.89</v>
      </c>
      <c r="E19" s="27">
        <f t="shared" si="0"/>
        <v>103.6128689250611</v>
      </c>
      <c r="F19" s="27">
        <v>844.23</v>
      </c>
      <c r="G19" s="34">
        <v>26444.5</v>
      </c>
      <c r="H19" s="25">
        <f t="shared" si="1"/>
        <v>87.90107583807597</v>
      </c>
      <c r="I19" s="33">
        <f>D19-сентябрь!D18</f>
        <v>3510.5699999999997</v>
      </c>
    </row>
    <row r="20" spans="1:9" ht="56.25" customHeight="1">
      <c r="A20" s="37" t="s">
        <v>84</v>
      </c>
      <c r="B20" s="27">
        <v>194.4</v>
      </c>
      <c r="C20" s="27">
        <v>150</v>
      </c>
      <c r="D20" s="27">
        <v>153.56</v>
      </c>
      <c r="E20" s="27">
        <f t="shared" si="0"/>
        <v>78.99176954732509</v>
      </c>
      <c r="F20" s="27">
        <v>5.74</v>
      </c>
      <c r="G20" s="34">
        <v>148.4</v>
      </c>
      <c r="H20" s="25">
        <f t="shared" si="1"/>
        <v>101.07816711590296</v>
      </c>
      <c r="I20" s="33">
        <f>D20-сентябрь!D19</f>
        <v>16.22</v>
      </c>
    </row>
    <row r="21" spans="1:9" ht="55.5" customHeight="1">
      <c r="A21" s="37" t="s">
        <v>85</v>
      </c>
      <c r="B21" s="27">
        <v>34598.53</v>
      </c>
      <c r="C21" s="27">
        <v>29650</v>
      </c>
      <c r="D21" s="27">
        <v>30500.23</v>
      </c>
      <c r="E21" s="27">
        <f t="shared" si="0"/>
        <v>88.15469905802357</v>
      </c>
      <c r="F21" s="27">
        <v>1158.41</v>
      </c>
      <c r="G21" s="34">
        <v>30045.3</v>
      </c>
      <c r="H21" s="25">
        <f t="shared" si="1"/>
        <v>98.68432001011806</v>
      </c>
      <c r="I21" s="33">
        <f>D21-сентябрь!D20</f>
        <v>3376.5499999999993</v>
      </c>
    </row>
    <row r="22" spans="1:9" ht="15.75" customHeight="1">
      <c r="A22" s="37" t="s">
        <v>86</v>
      </c>
      <c r="B22" s="27">
        <v>-3691.2</v>
      </c>
      <c r="C22" s="27">
        <v>-3070</v>
      </c>
      <c r="D22" s="27">
        <v>-3254.02</v>
      </c>
      <c r="E22" s="27">
        <f t="shared" si="0"/>
        <v>88.1561551798873</v>
      </c>
      <c r="F22" s="27">
        <v>-155.2</v>
      </c>
      <c r="G22" s="34">
        <v>-3058.1</v>
      </c>
      <c r="H22" s="25">
        <f t="shared" si="1"/>
        <v>100.38913050586966</v>
      </c>
      <c r="I22" s="33">
        <f>D22-сентябрь!D21</f>
        <v>-263.53999999999996</v>
      </c>
    </row>
    <row r="23" spans="1:9" ht="12.75">
      <c r="A23" s="54" t="s">
        <v>7</v>
      </c>
      <c r="B23" s="26">
        <f>SUM(B24:B27)</f>
        <v>148961.30000000002</v>
      </c>
      <c r="C23" s="26">
        <f>SUM(C24:C27)</f>
        <v>132815</v>
      </c>
      <c r="D23" s="26">
        <f>SUM(D24:D27)</f>
        <v>132036.47999999998</v>
      </c>
      <c r="E23" s="25">
        <f t="shared" si="0"/>
        <v>88.63810936129046</v>
      </c>
      <c r="F23" s="25">
        <v>7362.96</v>
      </c>
      <c r="G23" s="26">
        <v>121631.29999999999</v>
      </c>
      <c r="H23" s="25">
        <f t="shared" si="1"/>
        <v>109.19475496849907</v>
      </c>
      <c r="I23" s="33">
        <f>D23-сентябрь!D22</f>
        <v>22215.639999999985</v>
      </c>
    </row>
    <row r="24" spans="1:9" ht="28.5" customHeight="1">
      <c r="A24" s="51" t="s">
        <v>146</v>
      </c>
      <c r="B24" s="27">
        <v>116885.1</v>
      </c>
      <c r="C24" s="27">
        <v>108400</v>
      </c>
      <c r="D24" s="27">
        <v>114126.34</v>
      </c>
      <c r="E24" s="27">
        <f t="shared" si="0"/>
        <v>97.63976760083192</v>
      </c>
      <c r="F24" s="27"/>
      <c r="G24" s="27">
        <v>101116</v>
      </c>
      <c r="H24" s="25">
        <f t="shared" si="1"/>
        <v>107.20360773764786</v>
      </c>
      <c r="I24" s="33">
        <f>D24-сентябрь!D23</f>
        <v>20955.75</v>
      </c>
    </row>
    <row r="25" spans="1:9" ht="19.5" customHeight="1">
      <c r="A25" s="51" t="s">
        <v>89</v>
      </c>
      <c r="B25" s="27">
        <v>0</v>
      </c>
      <c r="C25" s="27">
        <v>0</v>
      </c>
      <c r="D25" s="27">
        <v>-592.96</v>
      </c>
      <c r="E25" s="27" t="s">
        <v>148</v>
      </c>
      <c r="F25" s="27">
        <v>7198.75</v>
      </c>
      <c r="G25" s="27">
        <v>196.7</v>
      </c>
      <c r="H25" s="25">
        <f t="shared" si="1"/>
        <v>0</v>
      </c>
      <c r="I25" s="33">
        <f>D25-сентябрь!D24</f>
        <v>14.730000000000018</v>
      </c>
    </row>
    <row r="26" spans="1:9" ht="15" customHeight="1">
      <c r="A26" s="51" t="s">
        <v>87</v>
      </c>
      <c r="B26" s="27">
        <v>715</v>
      </c>
      <c r="C26" s="27">
        <v>715</v>
      </c>
      <c r="D26" s="27">
        <v>432.02</v>
      </c>
      <c r="E26" s="27">
        <f t="shared" si="0"/>
        <v>60.422377622377624</v>
      </c>
      <c r="F26" s="27">
        <v>113.58</v>
      </c>
      <c r="G26" s="34">
        <v>297</v>
      </c>
      <c r="H26" s="25">
        <f t="shared" si="1"/>
        <v>240.74074074074073</v>
      </c>
      <c r="I26" s="33">
        <f>D26-сентябрь!D25</f>
        <v>1.8199999999999932</v>
      </c>
    </row>
    <row r="27" spans="1:9" ht="27" customHeight="1">
      <c r="A27" s="51" t="s">
        <v>88</v>
      </c>
      <c r="B27" s="27">
        <v>31361.2</v>
      </c>
      <c r="C27" s="27">
        <v>23700</v>
      </c>
      <c r="D27" s="27">
        <v>18071.08</v>
      </c>
      <c r="E27" s="27">
        <f t="shared" si="0"/>
        <v>57.622412407688486</v>
      </c>
      <c r="F27" s="27">
        <v>50.63</v>
      </c>
      <c r="G27" s="27">
        <v>20021.6</v>
      </c>
      <c r="H27" s="25">
        <f t="shared" si="1"/>
        <v>118.37215806928518</v>
      </c>
      <c r="I27" s="33">
        <f>D27-сентябрь!D26</f>
        <v>1243.3400000000001</v>
      </c>
    </row>
    <row r="28" spans="1:9" ht="12.75">
      <c r="A28" s="54" t="s">
        <v>8</v>
      </c>
      <c r="B28" s="26">
        <f>SUM(B29:B30)</f>
        <v>42454.6</v>
      </c>
      <c r="C28" s="26">
        <f>SUM(C29:C30)</f>
        <v>21100</v>
      </c>
      <c r="D28" s="26">
        <f>SUM(D29:D30)</f>
        <v>25643.33</v>
      </c>
      <c r="E28" s="25">
        <f t="shared" si="0"/>
        <v>60.40177036175115</v>
      </c>
      <c r="F28" s="25">
        <v>2465.82</v>
      </c>
      <c r="G28" s="26">
        <v>20915.2</v>
      </c>
      <c r="H28" s="25">
        <f t="shared" si="1"/>
        <v>100.88356793145654</v>
      </c>
      <c r="I28" s="33">
        <f>D28-сентябрь!D27</f>
        <v>12633.530000000002</v>
      </c>
    </row>
    <row r="29" spans="1:9" ht="12.75">
      <c r="A29" s="51" t="s">
        <v>106</v>
      </c>
      <c r="B29" s="27">
        <v>24668.5</v>
      </c>
      <c r="C29" s="27">
        <v>10250</v>
      </c>
      <c r="D29" s="27">
        <v>12652.33</v>
      </c>
      <c r="E29" s="27">
        <f t="shared" si="0"/>
        <v>51.289417678415795</v>
      </c>
      <c r="F29" s="27">
        <v>536.1</v>
      </c>
      <c r="G29" s="34">
        <v>10022.1</v>
      </c>
      <c r="H29" s="25">
        <f t="shared" si="1"/>
        <v>102.27397451631892</v>
      </c>
      <c r="I29" s="33">
        <f>D29-сентябрь!D28</f>
        <v>7047.93</v>
      </c>
    </row>
    <row r="30" spans="1:9" ht="12.75">
      <c r="A30" s="51" t="s">
        <v>107</v>
      </c>
      <c r="B30" s="27">
        <v>17786.1</v>
      </c>
      <c r="C30" s="27">
        <v>10850</v>
      </c>
      <c r="D30" s="27">
        <v>12991</v>
      </c>
      <c r="E30" s="27">
        <f t="shared" si="0"/>
        <v>73.04018306430304</v>
      </c>
      <c r="F30" s="27">
        <v>1929.72</v>
      </c>
      <c r="G30" s="27">
        <v>10893.1</v>
      </c>
      <c r="H30" s="25">
        <f t="shared" si="1"/>
        <v>99.60433669019838</v>
      </c>
      <c r="I30" s="33">
        <f>D30-сентябрь!D29</f>
        <v>5585.6</v>
      </c>
    </row>
    <row r="31" spans="1:9" ht="12.75">
      <c r="A31" s="47" t="s">
        <v>9</v>
      </c>
      <c r="B31" s="26">
        <f>SUM(B32:B34)</f>
        <v>15600</v>
      </c>
      <c r="C31" s="26">
        <f>SUM(C32:C34)</f>
        <v>13540</v>
      </c>
      <c r="D31" s="26">
        <f>SUM(D32:D34)</f>
        <v>15349.14</v>
      </c>
      <c r="E31" s="26">
        <f t="shared" si="0"/>
        <v>98.39192307692308</v>
      </c>
      <c r="F31" s="26">
        <v>793.07</v>
      </c>
      <c r="G31" s="26">
        <v>14293.4</v>
      </c>
      <c r="H31" s="25">
        <f t="shared" si="1"/>
        <v>94.72903577875104</v>
      </c>
      <c r="I31" s="33">
        <f>D31-сентябрь!D30</f>
        <v>1661.6399999999994</v>
      </c>
    </row>
    <row r="32" spans="1:9" ht="25.5">
      <c r="A32" s="51" t="s">
        <v>10</v>
      </c>
      <c r="B32" s="27">
        <v>15550</v>
      </c>
      <c r="C32" s="27">
        <v>13500</v>
      </c>
      <c r="D32" s="27">
        <v>15324.14</v>
      </c>
      <c r="E32" s="27">
        <f t="shared" si="0"/>
        <v>98.54752411575562</v>
      </c>
      <c r="F32" s="27">
        <v>793.07</v>
      </c>
      <c r="G32" s="27">
        <v>14180.8</v>
      </c>
      <c r="H32" s="25">
        <f t="shared" si="1"/>
        <v>95.19914250253865</v>
      </c>
      <c r="I32" s="33">
        <f>D32-сентябрь!D31</f>
        <v>1661.6399999999994</v>
      </c>
    </row>
    <row r="33" spans="1:9" ht="25.5">
      <c r="A33" s="51" t="s">
        <v>91</v>
      </c>
      <c r="B33" s="27">
        <v>0</v>
      </c>
      <c r="C33" s="27">
        <v>0</v>
      </c>
      <c r="D33" s="27">
        <v>0</v>
      </c>
      <c r="E33" s="27" t="s">
        <v>148</v>
      </c>
      <c r="F33" s="27">
        <v>0</v>
      </c>
      <c r="G33" s="107">
        <v>57.6</v>
      </c>
      <c r="H33" s="25">
        <f t="shared" si="1"/>
        <v>0</v>
      </c>
      <c r="I33" s="33">
        <f>D33-сентябрь!D32</f>
        <v>0</v>
      </c>
    </row>
    <row r="34" spans="1:9" ht="25.5">
      <c r="A34" s="51" t="s">
        <v>90</v>
      </c>
      <c r="B34" s="27">
        <v>50</v>
      </c>
      <c r="C34" s="27">
        <v>40</v>
      </c>
      <c r="D34" s="27">
        <v>25</v>
      </c>
      <c r="E34" s="27">
        <f t="shared" si="0"/>
        <v>50</v>
      </c>
      <c r="F34" s="27">
        <v>0</v>
      </c>
      <c r="G34" s="107">
        <v>55</v>
      </c>
      <c r="H34" s="25">
        <f t="shared" si="1"/>
        <v>72.72727272727273</v>
      </c>
      <c r="I34" s="33">
        <f>D34-сентябрь!D33</f>
        <v>0</v>
      </c>
    </row>
    <row r="35" spans="1:9" ht="25.5" hidden="1">
      <c r="A35" s="54" t="s">
        <v>11</v>
      </c>
      <c r="B35" s="27">
        <v>0</v>
      </c>
      <c r="C35" s="27">
        <v>0</v>
      </c>
      <c r="D35" s="27">
        <v>0.02</v>
      </c>
      <c r="E35" s="25" t="e">
        <f t="shared" si="0"/>
        <v>#DIV/0!</v>
      </c>
      <c r="F35" s="25">
        <v>0</v>
      </c>
      <c r="G35" s="27">
        <v>0.02</v>
      </c>
      <c r="H35" s="25">
        <f t="shared" si="1"/>
        <v>0</v>
      </c>
      <c r="I35" s="33">
        <f>D35-сентябрь!D34</f>
        <v>0</v>
      </c>
    </row>
    <row r="36" spans="1:9" ht="25.5" hidden="1">
      <c r="A36" s="51" t="s">
        <v>116</v>
      </c>
      <c r="B36" s="33">
        <v>0</v>
      </c>
      <c r="C36" s="33">
        <v>0</v>
      </c>
      <c r="D36" s="33">
        <v>0.02</v>
      </c>
      <c r="E36" s="25" t="e">
        <f t="shared" si="0"/>
        <v>#DIV/0!</v>
      </c>
      <c r="F36" s="25">
        <v>0</v>
      </c>
      <c r="G36" s="33">
        <v>0.02</v>
      </c>
      <c r="H36" s="25">
        <f t="shared" si="1"/>
        <v>0</v>
      </c>
      <c r="I36" s="33">
        <f>D36-сентябрь!D35</f>
        <v>0</v>
      </c>
    </row>
    <row r="37" spans="1:9" ht="25.5" hidden="1">
      <c r="A37" s="51" t="s">
        <v>92</v>
      </c>
      <c r="B37" s="27">
        <v>0</v>
      </c>
      <c r="C37" s="27">
        <v>0</v>
      </c>
      <c r="D37" s="27">
        <v>0</v>
      </c>
      <c r="E37" s="25" t="e">
        <f t="shared" si="0"/>
        <v>#DIV/0!</v>
      </c>
      <c r="F37" s="25">
        <v>0</v>
      </c>
      <c r="G37" s="27">
        <v>0</v>
      </c>
      <c r="H37" s="25" t="e">
        <f t="shared" si="1"/>
        <v>#DIV/0!</v>
      </c>
      <c r="I37" s="33">
        <f>D37-сентябрь!D36</f>
        <v>0</v>
      </c>
    </row>
    <row r="38" spans="1:9" ht="38.25">
      <c r="A38" s="54" t="s">
        <v>150</v>
      </c>
      <c r="B38" s="27">
        <v>0</v>
      </c>
      <c r="C38" s="27">
        <v>0</v>
      </c>
      <c r="D38" s="27">
        <v>-8.11</v>
      </c>
      <c r="E38" s="25">
        <v>0</v>
      </c>
      <c r="F38" s="25"/>
      <c r="G38" s="26">
        <v>0</v>
      </c>
      <c r="H38" s="25">
        <v>0</v>
      </c>
      <c r="I38" s="33">
        <f>D38-сентябрь!D37</f>
        <v>0</v>
      </c>
    </row>
    <row r="39" spans="1:9" ht="39.75" customHeight="1">
      <c r="A39" s="54" t="s">
        <v>12</v>
      </c>
      <c r="B39" s="26">
        <f>SUM(B41:B47)</f>
        <v>57702.52</v>
      </c>
      <c r="C39" s="26">
        <f>SUM(C41:C47)</f>
        <v>48336.54</v>
      </c>
      <c r="D39" s="26">
        <f>SUM(D41:D47)</f>
        <v>45948.9</v>
      </c>
      <c r="E39" s="26">
        <f t="shared" si="0"/>
        <v>79.63066431067483</v>
      </c>
      <c r="F39" s="26">
        <v>3247.05</v>
      </c>
      <c r="G39" s="26">
        <v>43761.700000000004</v>
      </c>
      <c r="H39" s="25">
        <f t="shared" si="1"/>
        <v>110.45398144953234</v>
      </c>
      <c r="I39" s="33">
        <f>D39-сентябрь!D38</f>
        <v>6445.040000000001</v>
      </c>
    </row>
    <row r="40" spans="1:9" ht="81.75" customHeight="1" hidden="1">
      <c r="A40" s="51" t="s">
        <v>114</v>
      </c>
      <c r="B40" s="27"/>
      <c r="C40" s="27"/>
      <c r="D40" s="27"/>
      <c r="E40" s="25" t="e">
        <f t="shared" si="0"/>
        <v>#DIV/0!</v>
      </c>
      <c r="F40" s="25"/>
      <c r="G40" s="27"/>
      <c r="H40" s="25" t="e">
        <f t="shared" si="1"/>
        <v>#DIV/0!</v>
      </c>
      <c r="I40" s="33">
        <f>D40-сентябрь!D39</f>
        <v>0</v>
      </c>
    </row>
    <row r="41" spans="1:9" ht="76.5">
      <c r="A41" s="51" t="s">
        <v>117</v>
      </c>
      <c r="B41" s="27">
        <v>29271.18</v>
      </c>
      <c r="C41" s="27">
        <v>24392.65</v>
      </c>
      <c r="D41" s="27">
        <v>23510.47</v>
      </c>
      <c r="E41" s="27">
        <f t="shared" si="0"/>
        <v>80.31951564644815</v>
      </c>
      <c r="F41" s="27">
        <v>2393.3</v>
      </c>
      <c r="G41" s="34">
        <v>24214</v>
      </c>
      <c r="H41" s="25">
        <f t="shared" si="1"/>
        <v>100.73779631618073</v>
      </c>
      <c r="I41" s="33">
        <f>D41-сентябрь!D40</f>
        <v>3628.4400000000023</v>
      </c>
    </row>
    <row r="42" spans="1:9" ht="76.5">
      <c r="A42" s="51" t="s">
        <v>125</v>
      </c>
      <c r="B42" s="27">
        <v>5434.31</v>
      </c>
      <c r="C42" s="27">
        <v>4528.59</v>
      </c>
      <c r="D42" s="27">
        <v>4974.67</v>
      </c>
      <c r="E42" s="27">
        <f t="shared" si="0"/>
        <v>91.54188848262244</v>
      </c>
      <c r="F42" s="27">
        <v>75.44</v>
      </c>
      <c r="G42" s="34">
        <v>3572.4</v>
      </c>
      <c r="H42" s="25">
        <f t="shared" si="1"/>
        <v>126.76603963721868</v>
      </c>
      <c r="I42" s="33">
        <f>D42-сентябрь!D41</f>
        <v>683.0299999999997</v>
      </c>
    </row>
    <row r="43" spans="1:9" ht="76.5">
      <c r="A43" s="51" t="s">
        <v>118</v>
      </c>
      <c r="B43" s="27">
        <v>515.73</v>
      </c>
      <c r="C43" s="27">
        <v>425.72</v>
      </c>
      <c r="D43" s="27">
        <v>640.5</v>
      </c>
      <c r="E43" s="27">
        <f t="shared" si="0"/>
        <v>124.19289162934093</v>
      </c>
      <c r="F43" s="27">
        <v>3.43</v>
      </c>
      <c r="G43" s="34">
        <v>384.5</v>
      </c>
      <c r="H43" s="25">
        <f t="shared" si="1"/>
        <v>110.72041612483746</v>
      </c>
      <c r="I43" s="33">
        <f>D43-сентябрь!D42</f>
        <v>42.710000000000036</v>
      </c>
    </row>
    <row r="44" spans="1:9" ht="38.25">
      <c r="A44" s="51" t="s">
        <v>119</v>
      </c>
      <c r="B44" s="27">
        <v>17384.33</v>
      </c>
      <c r="C44" s="27">
        <v>14486.94</v>
      </c>
      <c r="D44" s="27">
        <v>12173.81</v>
      </c>
      <c r="E44" s="27">
        <f t="shared" si="0"/>
        <v>70.02749027428725</v>
      </c>
      <c r="F44" s="27">
        <v>538.73</v>
      </c>
      <c r="G44" s="34">
        <v>11752.4</v>
      </c>
      <c r="H44" s="25">
        <f t="shared" si="1"/>
        <v>123.26792825295259</v>
      </c>
      <c r="I44" s="33">
        <f>D44-сентябрь!D43</f>
        <v>1349.2799999999988</v>
      </c>
    </row>
    <row r="45" spans="1:9" ht="44.25" customHeight="1">
      <c r="A45" s="51" t="s">
        <v>147</v>
      </c>
      <c r="B45" s="27">
        <v>62.2</v>
      </c>
      <c r="C45" s="27">
        <v>51.83</v>
      </c>
      <c r="D45" s="27">
        <v>107.79</v>
      </c>
      <c r="E45" s="27">
        <f t="shared" si="0"/>
        <v>173.29581993569133</v>
      </c>
      <c r="F45" s="27"/>
      <c r="G45" s="34">
        <v>60.8</v>
      </c>
      <c r="H45" s="25" t="s">
        <v>148</v>
      </c>
      <c r="I45" s="33">
        <f>D45-сентябрь!D44</f>
        <v>30.02000000000001</v>
      </c>
    </row>
    <row r="46" spans="1:9" ht="51">
      <c r="A46" s="51" t="s">
        <v>120</v>
      </c>
      <c r="B46" s="27">
        <v>1531</v>
      </c>
      <c r="C46" s="27">
        <v>1531</v>
      </c>
      <c r="D46" s="27">
        <v>1699.37</v>
      </c>
      <c r="E46" s="27">
        <f t="shared" si="0"/>
        <v>110.99738732854343</v>
      </c>
      <c r="F46" s="27">
        <v>0</v>
      </c>
      <c r="G46" s="34">
        <v>1064.2</v>
      </c>
      <c r="H46" s="25" t="s">
        <v>148</v>
      </c>
      <c r="I46" s="33">
        <f>D46-сентябрь!D45</f>
        <v>448</v>
      </c>
    </row>
    <row r="47" spans="1:9" ht="76.5">
      <c r="A47" s="51" t="s">
        <v>121</v>
      </c>
      <c r="B47" s="27">
        <v>3503.77</v>
      </c>
      <c r="C47" s="27">
        <v>2919.81</v>
      </c>
      <c r="D47" s="27">
        <v>2842.29</v>
      </c>
      <c r="E47" s="27">
        <f t="shared" si="0"/>
        <v>81.1209069088439</v>
      </c>
      <c r="F47" s="27">
        <v>236.15</v>
      </c>
      <c r="G47" s="27">
        <v>2713.4</v>
      </c>
      <c r="H47" s="25">
        <f t="shared" si="1"/>
        <v>107.6070612515663</v>
      </c>
      <c r="I47" s="33">
        <f>D47-сентябрь!D46</f>
        <v>263.55999999999995</v>
      </c>
    </row>
    <row r="48" spans="1:9" ht="27" customHeight="1">
      <c r="A48" s="54" t="s">
        <v>13</v>
      </c>
      <c r="B48" s="33">
        <v>3612.72</v>
      </c>
      <c r="C48" s="33">
        <v>3510.18</v>
      </c>
      <c r="D48" s="33">
        <v>3690.09</v>
      </c>
      <c r="E48" s="33">
        <f t="shared" si="0"/>
        <v>102.1415996811267</v>
      </c>
      <c r="F48" s="33">
        <v>43.6</v>
      </c>
      <c r="G48" s="26">
        <v>634.2</v>
      </c>
      <c r="H48" s="33">
        <f t="shared" si="1"/>
        <v>553.4815515610217</v>
      </c>
      <c r="I48" s="33">
        <f>D48-сентябрь!D47</f>
        <v>73.39000000000033</v>
      </c>
    </row>
    <row r="49" spans="1:9" ht="25.5">
      <c r="A49" s="54" t="s">
        <v>96</v>
      </c>
      <c r="B49" s="33">
        <v>3923.36</v>
      </c>
      <c r="C49" s="33">
        <v>3868.09</v>
      </c>
      <c r="D49" s="33">
        <v>4419.59</v>
      </c>
      <c r="E49" s="33">
        <f t="shared" si="0"/>
        <v>112.64808735369682</v>
      </c>
      <c r="F49" s="33">
        <v>561.58</v>
      </c>
      <c r="G49" s="26">
        <v>10013.1</v>
      </c>
      <c r="H49" s="33">
        <f t="shared" si="1"/>
        <v>38.63029431444807</v>
      </c>
      <c r="I49" s="33">
        <f>D49-сентябрь!D48</f>
        <v>2240.3900000000003</v>
      </c>
    </row>
    <row r="50" spans="1:9" ht="25.5">
      <c r="A50" s="54" t="s">
        <v>14</v>
      </c>
      <c r="B50" s="33">
        <v>96300</v>
      </c>
      <c r="C50" s="33">
        <v>950</v>
      </c>
      <c r="D50" s="33">
        <v>5046.16</v>
      </c>
      <c r="E50" s="25">
        <f t="shared" si="0"/>
        <v>5.240041536863966</v>
      </c>
      <c r="F50" s="25">
        <v>585.5</v>
      </c>
      <c r="G50" s="33">
        <v>2595.7</v>
      </c>
      <c r="H50" s="25">
        <f t="shared" si="1"/>
        <v>36.598990638363446</v>
      </c>
      <c r="I50" s="33">
        <f>D50-сентябрь!D49</f>
        <v>447.5599999999995</v>
      </c>
    </row>
    <row r="51" spans="1:9" ht="12.75">
      <c r="A51" s="51" t="s">
        <v>94</v>
      </c>
      <c r="B51" s="27">
        <v>0</v>
      </c>
      <c r="C51" s="27">
        <v>0</v>
      </c>
      <c r="D51" s="27">
        <v>0</v>
      </c>
      <c r="E51" s="25">
        <v>0</v>
      </c>
      <c r="F51" s="25">
        <v>0</v>
      </c>
      <c r="G51" s="27">
        <v>0</v>
      </c>
      <c r="H51" s="25" t="s">
        <v>148</v>
      </c>
      <c r="I51" s="33">
        <f>D51-сентябрь!D50</f>
        <v>0</v>
      </c>
    </row>
    <row r="52" spans="1:9" ht="76.5">
      <c r="A52" s="51" t="s">
        <v>95</v>
      </c>
      <c r="B52" s="27">
        <v>94400</v>
      </c>
      <c r="C52" s="27">
        <v>0</v>
      </c>
      <c r="D52" s="27">
        <v>0</v>
      </c>
      <c r="E52" s="25">
        <f t="shared" si="0"/>
        <v>0</v>
      </c>
      <c r="F52" s="25">
        <v>37.14</v>
      </c>
      <c r="G52" s="83">
        <v>0</v>
      </c>
      <c r="H52" s="25" t="s">
        <v>148</v>
      </c>
      <c r="I52" s="33">
        <f>D52-сентябрь!D51</f>
        <v>0</v>
      </c>
    </row>
    <row r="53" spans="1:9" ht="17.25" customHeight="1">
      <c r="A53" s="51" t="s">
        <v>93</v>
      </c>
      <c r="B53" s="27">
        <v>1900</v>
      </c>
      <c r="C53" s="27">
        <v>950</v>
      </c>
      <c r="D53" s="27">
        <v>5046.16</v>
      </c>
      <c r="E53" s="27">
        <f t="shared" si="0"/>
        <v>265.5873684210526</v>
      </c>
      <c r="F53" s="27">
        <v>548.36</v>
      </c>
      <c r="G53" s="27">
        <v>2595.7</v>
      </c>
      <c r="H53" s="25">
        <f t="shared" si="1"/>
        <v>36.598990638363446</v>
      </c>
      <c r="I53" s="33">
        <f>D53-сентябрь!D52</f>
        <v>447.5599999999995</v>
      </c>
    </row>
    <row r="54" spans="1:9" ht="12.75">
      <c r="A54" s="54" t="s">
        <v>15</v>
      </c>
      <c r="B54" s="33">
        <v>-1455.1</v>
      </c>
      <c r="C54" s="33">
        <v>-1894.58</v>
      </c>
      <c r="D54" s="33">
        <v>-310.54</v>
      </c>
      <c r="E54" s="26">
        <f t="shared" si="0"/>
        <v>21.341488557487462</v>
      </c>
      <c r="F54" s="26">
        <v>179.73</v>
      </c>
      <c r="G54" s="26">
        <v>5135.5</v>
      </c>
      <c r="H54" s="25">
        <f t="shared" si="1"/>
        <v>-36.89183136987635</v>
      </c>
      <c r="I54" s="33">
        <f>D54-сентябрь!D53</f>
        <v>1638.73</v>
      </c>
    </row>
    <row r="55" spans="1:9" ht="63.75" hidden="1">
      <c r="A55" s="51" t="s">
        <v>126</v>
      </c>
      <c r="B55" s="33">
        <v>223.07</v>
      </c>
      <c r="C55" s="33">
        <v>20</v>
      </c>
      <c r="D55" s="33"/>
      <c r="E55" s="26">
        <f t="shared" si="0"/>
        <v>0</v>
      </c>
      <c r="F55" s="26"/>
      <c r="G55" s="26"/>
      <c r="H55" s="25" t="e">
        <f t="shared" si="1"/>
        <v>#DIV/0!</v>
      </c>
      <c r="I55" s="33">
        <f>D55-сентябрь!D54</f>
        <v>0</v>
      </c>
    </row>
    <row r="56" spans="1:9" ht="89.25" hidden="1">
      <c r="A56" s="51" t="s">
        <v>127</v>
      </c>
      <c r="B56" s="33">
        <v>223.07</v>
      </c>
      <c r="C56" s="33">
        <v>20</v>
      </c>
      <c r="D56" s="33"/>
      <c r="E56" s="26">
        <f t="shared" si="0"/>
        <v>0</v>
      </c>
      <c r="F56" s="26"/>
      <c r="G56" s="26"/>
      <c r="H56" s="25" t="e">
        <f t="shared" si="1"/>
        <v>#DIV/0!</v>
      </c>
      <c r="I56" s="33">
        <f>D56-сентябрь!D55</f>
        <v>0</v>
      </c>
    </row>
    <row r="57" spans="1:9" ht="63.75" hidden="1">
      <c r="A57" s="51" t="s">
        <v>128</v>
      </c>
      <c r="B57" s="33">
        <v>223.07</v>
      </c>
      <c r="C57" s="33">
        <v>20</v>
      </c>
      <c r="D57" s="33"/>
      <c r="E57" s="26">
        <f t="shared" si="0"/>
        <v>0</v>
      </c>
      <c r="F57" s="26"/>
      <c r="G57" s="26"/>
      <c r="H57" s="25" t="e">
        <f t="shared" si="1"/>
        <v>#DIV/0!</v>
      </c>
      <c r="I57" s="33">
        <f>D57-сентябрь!D56</f>
        <v>0</v>
      </c>
    </row>
    <row r="58" spans="1:9" ht="29.25" customHeight="1" hidden="1">
      <c r="A58" s="51" t="s">
        <v>129</v>
      </c>
      <c r="B58" s="33">
        <v>223.07</v>
      </c>
      <c r="C58" s="33">
        <v>20</v>
      </c>
      <c r="D58" s="33"/>
      <c r="E58" s="26">
        <f t="shared" si="0"/>
        <v>0</v>
      </c>
      <c r="F58" s="26"/>
      <c r="G58" s="26"/>
      <c r="H58" s="25" t="e">
        <f t="shared" si="1"/>
        <v>#DIV/0!</v>
      </c>
      <c r="I58" s="33">
        <f>D58-сентябрь!D57</f>
        <v>0</v>
      </c>
    </row>
    <row r="59" spans="1:9" ht="38.25" customHeight="1" hidden="1">
      <c r="A59" s="51" t="s">
        <v>130</v>
      </c>
      <c r="B59" s="33">
        <v>223.07</v>
      </c>
      <c r="C59" s="33">
        <v>20</v>
      </c>
      <c r="D59" s="33"/>
      <c r="E59" s="26">
        <f t="shared" si="0"/>
        <v>0</v>
      </c>
      <c r="F59" s="26"/>
      <c r="G59" s="26"/>
      <c r="H59" s="25" t="e">
        <f t="shared" si="1"/>
        <v>#DIV/0!</v>
      </c>
      <c r="I59" s="33">
        <f>D59-сентябрь!D58</f>
        <v>0</v>
      </c>
    </row>
    <row r="60" spans="1:9" ht="43.5" customHeight="1" hidden="1">
      <c r="A60" s="51" t="s">
        <v>131</v>
      </c>
      <c r="B60" s="33">
        <v>223.07</v>
      </c>
      <c r="C60" s="33">
        <v>20</v>
      </c>
      <c r="D60" s="33"/>
      <c r="E60" s="26">
        <f t="shared" si="0"/>
        <v>0</v>
      </c>
      <c r="F60" s="26"/>
      <c r="G60" s="26"/>
      <c r="H60" s="25" t="e">
        <f t="shared" si="1"/>
        <v>#DIV/0!</v>
      </c>
      <c r="I60" s="33">
        <f>D60-сентябрь!D59</f>
        <v>0</v>
      </c>
    </row>
    <row r="61" spans="1:9" ht="40.5" customHeight="1" hidden="1">
      <c r="A61" s="51" t="s">
        <v>132</v>
      </c>
      <c r="B61" s="33">
        <v>223.07</v>
      </c>
      <c r="C61" s="33">
        <v>20</v>
      </c>
      <c r="D61" s="33"/>
      <c r="E61" s="26">
        <f t="shared" si="0"/>
        <v>0</v>
      </c>
      <c r="F61" s="26"/>
      <c r="G61" s="26"/>
      <c r="H61" s="25" t="e">
        <f t="shared" si="1"/>
        <v>#DIV/0!</v>
      </c>
      <c r="I61" s="33">
        <f>D61-сентябрь!D60</f>
        <v>0</v>
      </c>
    </row>
    <row r="62" spans="1:9" ht="51" hidden="1">
      <c r="A62" s="51" t="s">
        <v>133</v>
      </c>
      <c r="B62" s="33">
        <v>223.07</v>
      </c>
      <c r="C62" s="33">
        <v>20</v>
      </c>
      <c r="D62" s="33"/>
      <c r="E62" s="26">
        <f t="shared" si="0"/>
        <v>0</v>
      </c>
      <c r="F62" s="26"/>
      <c r="G62" s="33"/>
      <c r="H62" s="25" t="e">
        <f t="shared" si="1"/>
        <v>#DIV/0!</v>
      </c>
      <c r="I62" s="33">
        <f>D62-сентябрь!D61</f>
        <v>0</v>
      </c>
    </row>
    <row r="63" spans="1:9" ht="76.5" hidden="1">
      <c r="A63" s="51" t="s">
        <v>134</v>
      </c>
      <c r="B63" s="33">
        <v>223.07</v>
      </c>
      <c r="C63" s="33">
        <v>20</v>
      </c>
      <c r="D63" s="33"/>
      <c r="E63" s="26">
        <f t="shared" si="0"/>
        <v>0</v>
      </c>
      <c r="F63" s="26"/>
      <c r="G63" s="33"/>
      <c r="H63" s="25" t="e">
        <f t="shared" si="1"/>
        <v>#DIV/0!</v>
      </c>
      <c r="I63" s="33">
        <f>D63-сентябрь!D62</f>
        <v>0</v>
      </c>
    </row>
    <row r="64" spans="1:9" ht="12.75" hidden="1">
      <c r="A64" s="51" t="s">
        <v>135</v>
      </c>
      <c r="B64" s="33">
        <v>223.07</v>
      </c>
      <c r="C64" s="33">
        <v>20</v>
      </c>
      <c r="D64" s="33"/>
      <c r="E64" s="26">
        <f t="shared" si="0"/>
        <v>0</v>
      </c>
      <c r="F64" s="26"/>
      <c r="G64" s="103"/>
      <c r="H64" s="25" t="e">
        <f t="shared" si="1"/>
        <v>#DIV/0!</v>
      </c>
      <c r="I64" s="33">
        <f>D64-сентябрь!D63</f>
        <v>0</v>
      </c>
    </row>
    <row r="65" spans="1:9" ht="12.75">
      <c r="A65" s="47" t="s">
        <v>16</v>
      </c>
      <c r="B65" s="33">
        <v>5681.25</v>
      </c>
      <c r="C65" s="33">
        <v>5656.7</v>
      </c>
      <c r="D65" s="33">
        <v>6546.25</v>
      </c>
      <c r="E65" s="26">
        <f t="shared" si="0"/>
        <v>115.22552255225523</v>
      </c>
      <c r="F65" s="26">
        <v>-38.79</v>
      </c>
      <c r="G65" s="26">
        <v>28.6</v>
      </c>
      <c r="H65" s="25" t="s">
        <v>148</v>
      </c>
      <c r="I65" s="33">
        <f>D65-сентябрь!D64</f>
        <v>100.10000000000036</v>
      </c>
    </row>
    <row r="66" spans="1:9" ht="12.75">
      <c r="A66" s="54" t="s">
        <v>17</v>
      </c>
      <c r="B66" s="26">
        <f>B65+B54+B50+B49+B48+B39+B31+B28+B23+B18+B8</f>
        <v>804986.74</v>
      </c>
      <c r="C66" s="26">
        <f>C65+C54+C50+C49+C48+C39+C31+C28+C23+C18+C8</f>
        <v>547707.9299999999</v>
      </c>
      <c r="D66" s="26">
        <f>D65+D54+D50+D49+D48+D39+D31+D28+D23+D18+D8+D38</f>
        <v>599491.2499999999</v>
      </c>
      <c r="E66" s="26">
        <f t="shared" si="0"/>
        <v>74.47218944252421</v>
      </c>
      <c r="F66" s="26">
        <v>27699.089999999997</v>
      </c>
      <c r="G66" s="26">
        <v>572460.7</v>
      </c>
      <c r="H66" s="25">
        <f t="shared" si="1"/>
        <v>95.67607523101586</v>
      </c>
      <c r="I66" s="33">
        <f>D66-сентябрь!D65</f>
        <v>89637.96999999991</v>
      </c>
    </row>
    <row r="67" spans="1:9" ht="12.75">
      <c r="A67" s="54" t="s">
        <v>18</v>
      </c>
      <c r="B67" s="26">
        <f>B68+B73+B74</f>
        <v>3804304.15</v>
      </c>
      <c r="C67" s="26">
        <f>C68+C73+C74</f>
        <v>2679702.18</v>
      </c>
      <c r="D67" s="26">
        <f>D68+D73+D74</f>
        <v>2677967.91</v>
      </c>
      <c r="E67" s="26">
        <f t="shared" si="0"/>
        <v>70.39310750167019</v>
      </c>
      <c r="F67" s="26">
        <v>43822.57000000001</v>
      </c>
      <c r="G67" s="27">
        <v>2284983.8</v>
      </c>
      <c r="H67" s="25">
        <f t="shared" si="1"/>
        <v>117.2744498232329</v>
      </c>
      <c r="I67" s="33">
        <f>D67-сентябрь!D66</f>
        <v>277705.91000000015</v>
      </c>
    </row>
    <row r="68" spans="1:9" ht="25.5">
      <c r="A68" s="54" t="s">
        <v>19</v>
      </c>
      <c r="B68" s="26">
        <f>SUM(B69:B72)</f>
        <v>3812684.4</v>
      </c>
      <c r="C68" s="26">
        <f>SUM(C69:C72)</f>
        <v>2688082.4200000004</v>
      </c>
      <c r="D68" s="26">
        <f>SUM(D69:D72)</f>
        <v>2688082.3200000003</v>
      </c>
      <c r="E68" s="26">
        <f t="shared" si="0"/>
        <v>70.50366718000578</v>
      </c>
      <c r="F68" s="26">
        <v>46091.770000000004</v>
      </c>
      <c r="G68" s="27">
        <v>2303356.6999999997</v>
      </c>
      <c r="H68" s="25">
        <f t="shared" si="1"/>
        <v>116.70282852846894</v>
      </c>
      <c r="I68" s="33">
        <f>D68-сентябрь!D67</f>
        <v>277693.1200000001</v>
      </c>
    </row>
    <row r="69" spans="1:9" ht="12.75">
      <c r="A69" s="51" t="s">
        <v>108</v>
      </c>
      <c r="B69" s="27">
        <f>587167.2+86607.2</f>
        <v>673774.3999999999</v>
      </c>
      <c r="C69" s="27">
        <v>574996.9</v>
      </c>
      <c r="D69" s="27">
        <v>574996.8</v>
      </c>
      <c r="E69" s="25">
        <f t="shared" si="0"/>
        <v>85.3396626526624</v>
      </c>
      <c r="F69" s="25">
        <v>15902.8</v>
      </c>
      <c r="G69" s="27">
        <v>435299.1</v>
      </c>
      <c r="H69" s="25">
        <f t="shared" si="1"/>
        <v>132.09237051029973</v>
      </c>
      <c r="I69" s="33">
        <f>D69-сентябрь!D68</f>
        <v>40259.15000000002</v>
      </c>
    </row>
    <row r="70" spans="1:9" ht="12.75" customHeight="1">
      <c r="A70" s="51" t="s">
        <v>109</v>
      </c>
      <c r="B70" s="27">
        <v>1744835.11</v>
      </c>
      <c r="C70" s="27">
        <v>1013328.63</v>
      </c>
      <c r="D70" s="27">
        <v>1013328.63</v>
      </c>
      <c r="E70" s="25">
        <f t="shared" si="0"/>
        <v>58.07589635217737</v>
      </c>
      <c r="F70" s="25">
        <v>0</v>
      </c>
      <c r="G70" s="27">
        <v>892358.7</v>
      </c>
      <c r="H70" s="25">
        <f t="shared" si="1"/>
        <v>113.55619998998161</v>
      </c>
      <c r="I70" s="33">
        <f>D70-сентябрь!D69</f>
        <v>125787.53000000003</v>
      </c>
    </row>
    <row r="71" spans="1:9" ht="18.75" customHeight="1">
      <c r="A71" s="51" t="s">
        <v>110</v>
      </c>
      <c r="B71" s="27">
        <v>1330907.15</v>
      </c>
      <c r="C71" s="27">
        <v>1054424.87</v>
      </c>
      <c r="D71" s="27">
        <v>1054424.87</v>
      </c>
      <c r="E71" s="25">
        <f t="shared" si="0"/>
        <v>79.22602790134535</v>
      </c>
      <c r="F71" s="25">
        <v>30188.97</v>
      </c>
      <c r="G71" s="34">
        <v>918139.1</v>
      </c>
      <c r="H71" s="25">
        <f t="shared" si="1"/>
        <v>114.8436952527128</v>
      </c>
      <c r="I71" s="33">
        <f>D71-сентябрь!D70</f>
        <v>107158.27000000014</v>
      </c>
    </row>
    <row r="72" spans="1:9" ht="12.75" customHeight="1">
      <c r="A72" s="2" t="s">
        <v>122</v>
      </c>
      <c r="B72" s="27">
        <v>63167.74</v>
      </c>
      <c r="C72" s="27">
        <v>45332.02</v>
      </c>
      <c r="D72" s="27">
        <v>45332.02</v>
      </c>
      <c r="E72" s="25">
        <f t="shared" si="0"/>
        <v>71.76451144207469</v>
      </c>
      <c r="F72" s="25">
        <v>0</v>
      </c>
      <c r="G72" s="83">
        <v>57559.8</v>
      </c>
      <c r="H72" s="25" t="s">
        <v>148</v>
      </c>
      <c r="I72" s="33">
        <f>D72-сентябрь!D71</f>
        <v>4488.169999999998</v>
      </c>
    </row>
    <row r="73" spans="1:9" ht="12.75" customHeight="1">
      <c r="A73" s="54" t="s">
        <v>113</v>
      </c>
      <c r="B73" s="26">
        <v>0</v>
      </c>
      <c r="C73" s="26">
        <v>0</v>
      </c>
      <c r="D73" s="26">
        <v>0</v>
      </c>
      <c r="E73" s="26">
        <v>0</v>
      </c>
      <c r="F73" s="26">
        <v>0</v>
      </c>
      <c r="G73" s="34">
        <v>0</v>
      </c>
      <c r="H73" s="25" t="s">
        <v>148</v>
      </c>
      <c r="I73" s="33">
        <f>D73-сентябрь!D72</f>
        <v>0</v>
      </c>
    </row>
    <row r="74" spans="1:13" ht="25.5">
      <c r="A74" s="54" t="s">
        <v>21</v>
      </c>
      <c r="B74" s="27">
        <v>-8380.25</v>
      </c>
      <c r="C74" s="27">
        <v>-8380.239999999998</v>
      </c>
      <c r="D74" s="27">
        <f>-10127.2+12.79</f>
        <v>-10114.41</v>
      </c>
      <c r="E74" s="26">
        <f t="shared" si="0"/>
        <v>120.69341606753976</v>
      </c>
      <c r="F74" s="26">
        <v>-2269.2</v>
      </c>
      <c r="G74" s="26">
        <v>-18372.9</v>
      </c>
      <c r="H74" s="25">
        <f t="shared" si="1"/>
        <v>45.611961094873415</v>
      </c>
      <c r="I74" s="33">
        <f>D74-сентябрь!D73</f>
        <v>12.790000000000873</v>
      </c>
      <c r="K74" s="98"/>
      <c r="L74" s="98"/>
      <c r="M74" s="98"/>
    </row>
    <row r="75" spans="1:9" ht="12.75">
      <c r="A75" s="47" t="s">
        <v>20</v>
      </c>
      <c r="B75" s="26">
        <f>B66+B67</f>
        <v>4609290.89</v>
      </c>
      <c r="C75" s="26">
        <f>C66+C67</f>
        <v>3227410.1100000003</v>
      </c>
      <c r="D75" s="26">
        <f>D66+D67</f>
        <v>3277459.16</v>
      </c>
      <c r="E75" s="25">
        <f>D75/B75*100</f>
        <v>71.10549622959466</v>
      </c>
      <c r="F75" s="25">
        <v>71521.66</v>
      </c>
      <c r="G75" s="33">
        <v>2857444.5</v>
      </c>
      <c r="H75" s="25">
        <f>C75/G75*100</f>
        <v>112.94742942513845</v>
      </c>
      <c r="I75" s="33">
        <f>D75-сентябрь!D74</f>
        <v>367343.88000000035</v>
      </c>
    </row>
    <row r="76" spans="1:9" ht="12.75" hidden="1">
      <c r="A76" s="54"/>
      <c r="B76" s="61"/>
      <c r="C76" s="61"/>
      <c r="D76" s="61"/>
      <c r="E76" s="45"/>
      <c r="F76" s="45"/>
      <c r="G76" s="61"/>
      <c r="H76" s="45"/>
      <c r="I76" s="61"/>
    </row>
    <row r="77" spans="1:9" ht="12.75" hidden="1">
      <c r="A77" s="54"/>
      <c r="B77" s="56"/>
      <c r="C77" s="56"/>
      <c r="D77" s="56"/>
      <c r="E77" s="45"/>
      <c r="F77" s="45"/>
      <c r="G77" s="56"/>
      <c r="H77" s="45"/>
      <c r="I77" s="56"/>
    </row>
    <row r="78" spans="1:9" ht="12.75" hidden="1">
      <c r="A78" s="47"/>
      <c r="B78" s="57"/>
      <c r="C78" s="57"/>
      <c r="D78" s="57"/>
      <c r="E78" s="45"/>
      <c r="F78" s="45"/>
      <c r="G78" s="57"/>
      <c r="H78" s="45"/>
      <c r="I78" s="57"/>
    </row>
    <row r="79" spans="1:9" ht="12.75" hidden="1">
      <c r="A79" s="89"/>
      <c r="B79" s="33"/>
      <c r="C79" s="33"/>
      <c r="D79" s="33"/>
      <c r="E79" s="25"/>
      <c r="F79" s="25"/>
      <c r="G79" s="33"/>
      <c r="H79" s="25"/>
      <c r="I79" s="33"/>
    </row>
    <row r="80" spans="1:9" ht="12.75">
      <c r="A80" s="121" t="s">
        <v>22</v>
      </c>
      <c r="B80" s="121"/>
      <c r="C80" s="121"/>
      <c r="D80" s="121"/>
      <c r="E80" s="121"/>
      <c r="F80" s="121"/>
      <c r="G80" s="121"/>
      <c r="H80" s="121"/>
      <c r="I80" s="121"/>
    </row>
    <row r="81" spans="1:9" ht="12.75">
      <c r="A81" s="7" t="s">
        <v>23</v>
      </c>
      <c r="B81" s="33">
        <f>B82+B83+B84+B85+B86+B87+B88+B89</f>
        <v>649844.43</v>
      </c>
      <c r="C81" s="33">
        <f>C82+C83+C84+C85+C86+C87+C88+C89</f>
        <v>364444.64</v>
      </c>
      <c r="D81" s="33">
        <f>D82+D83+D84+D85+D86+D87+D88+D89</f>
        <v>361723.62</v>
      </c>
      <c r="E81" s="25">
        <f>$D:$D/$B:$B*100</f>
        <v>55.66311001542322</v>
      </c>
      <c r="F81" s="25">
        <f>$D:$D/$C:$C*100</f>
        <v>99.25337905916246</v>
      </c>
      <c r="G81" s="33">
        <v>209452.77000000002</v>
      </c>
      <c r="H81" s="25">
        <f aca="true" t="shared" si="2" ref="H81:H87">$D:$D/$G:$G*100</f>
        <v>172.6993727511935</v>
      </c>
      <c r="I81" s="33">
        <f>D81-сентябрь!D80</f>
        <v>96477.78000000003</v>
      </c>
    </row>
    <row r="82" spans="1:9" ht="14.25" customHeight="1">
      <c r="A82" s="8" t="s">
        <v>24</v>
      </c>
      <c r="B82" s="27">
        <v>3242.77</v>
      </c>
      <c r="C82" s="27">
        <v>2842.4</v>
      </c>
      <c r="D82" s="27">
        <v>2718.71</v>
      </c>
      <c r="E82" s="28">
        <f>$D:$D/$B:$B*100</f>
        <v>83.83912519235098</v>
      </c>
      <c r="F82" s="28">
        <v>0</v>
      </c>
      <c r="G82" s="104">
        <v>2258.27</v>
      </c>
      <c r="H82" s="28">
        <f t="shared" si="2"/>
        <v>120.38905888135609</v>
      </c>
      <c r="I82" s="33">
        <f>D82-сентябрь!D81</f>
        <v>191.71000000000004</v>
      </c>
    </row>
    <row r="83" spans="1:9" ht="12.75">
      <c r="A83" s="8" t="s">
        <v>25</v>
      </c>
      <c r="B83" s="27">
        <v>7710.8</v>
      </c>
      <c r="C83" s="27">
        <v>5822.94</v>
      </c>
      <c r="D83" s="27">
        <v>5617.25</v>
      </c>
      <c r="E83" s="28">
        <f>$D:$D/$B:$B*100</f>
        <v>72.84912071380401</v>
      </c>
      <c r="F83" s="28">
        <f>$D:$D/$C:$C*100</f>
        <v>96.46759197244005</v>
      </c>
      <c r="G83" s="104">
        <v>5802.3</v>
      </c>
      <c r="H83" s="28">
        <f t="shared" si="2"/>
        <v>96.81074746221326</v>
      </c>
      <c r="I83" s="33">
        <f>D83-сентябрь!D82</f>
        <v>447.14999999999964</v>
      </c>
    </row>
    <row r="84" spans="1:9" ht="25.5">
      <c r="A84" s="8" t="s">
        <v>26</v>
      </c>
      <c r="B84" s="27">
        <v>71521.89</v>
      </c>
      <c r="C84" s="27">
        <v>59093.77</v>
      </c>
      <c r="D84" s="27">
        <v>57264.24</v>
      </c>
      <c r="E84" s="28">
        <f>$D:$D/$B:$B*100</f>
        <v>80.06533384394623</v>
      </c>
      <c r="F84" s="28">
        <f>$D:$D/$C:$C*100</f>
        <v>96.90402220064823</v>
      </c>
      <c r="G84" s="104">
        <v>47088.1</v>
      </c>
      <c r="H84" s="28">
        <f t="shared" si="2"/>
        <v>121.61085284817183</v>
      </c>
      <c r="I84" s="33">
        <f>D84-сентябрь!D83</f>
        <v>4524.239999999998</v>
      </c>
    </row>
    <row r="85" spans="1:9" ht="12.75">
      <c r="A85" s="8" t="s">
        <v>72</v>
      </c>
      <c r="B85" s="27">
        <v>12.8</v>
      </c>
      <c r="C85" s="27">
        <v>3.84</v>
      </c>
      <c r="D85" s="27">
        <v>3.84</v>
      </c>
      <c r="E85" s="28">
        <v>0</v>
      </c>
      <c r="F85" s="28">
        <v>0</v>
      </c>
      <c r="G85" s="104">
        <v>170</v>
      </c>
      <c r="H85" s="28">
        <f t="shared" si="2"/>
        <v>2.2588235294117647</v>
      </c>
      <c r="I85" s="33">
        <f>D85-сентябрь!D84</f>
        <v>0</v>
      </c>
    </row>
    <row r="86" spans="1:9" ht="25.5">
      <c r="A86" s="1" t="s">
        <v>27</v>
      </c>
      <c r="B86" s="27">
        <v>18122.5</v>
      </c>
      <c r="C86" s="27">
        <v>13710.43</v>
      </c>
      <c r="D86" s="27">
        <v>13435.36</v>
      </c>
      <c r="E86" s="28">
        <f>$D:$D/$B:$B*100</f>
        <v>74.13634984135743</v>
      </c>
      <c r="F86" s="28">
        <v>0</v>
      </c>
      <c r="G86" s="104">
        <v>12461.7</v>
      </c>
      <c r="H86" s="28">
        <f t="shared" si="2"/>
        <v>107.81321970517665</v>
      </c>
      <c r="I86" s="33">
        <f>D86-сентябрь!D85</f>
        <v>1206.460000000001</v>
      </c>
    </row>
    <row r="87" spans="1:9" ht="12.75" hidden="1">
      <c r="A87" s="8" t="s">
        <v>28</v>
      </c>
      <c r="B87" s="27">
        <v>0</v>
      </c>
      <c r="C87" s="27">
        <v>0</v>
      </c>
      <c r="D87" s="27">
        <v>0</v>
      </c>
      <c r="E87" s="28">
        <v>0</v>
      </c>
      <c r="F87" s="28">
        <v>0</v>
      </c>
      <c r="G87" s="104">
        <v>7709.7</v>
      </c>
      <c r="H87" s="28">
        <f t="shared" si="2"/>
        <v>0</v>
      </c>
      <c r="I87" s="33">
        <f>D87-сентябрь!D86</f>
        <v>0</v>
      </c>
    </row>
    <row r="88" spans="1:9" ht="12.75">
      <c r="A88" s="8" t="s">
        <v>29</v>
      </c>
      <c r="B88" s="27">
        <v>1825.11</v>
      </c>
      <c r="C88" s="27">
        <v>0</v>
      </c>
      <c r="D88" s="27">
        <v>0</v>
      </c>
      <c r="E88" s="28">
        <f>$D:$D/$B:$B*100</f>
        <v>0</v>
      </c>
      <c r="F88" s="28">
        <v>0</v>
      </c>
      <c r="G88" s="104">
        <v>0</v>
      </c>
      <c r="H88" s="28">
        <v>0</v>
      </c>
      <c r="I88" s="33">
        <f>D88-сентябрь!D87</f>
        <v>0</v>
      </c>
    </row>
    <row r="89" spans="1:9" ht="12.75">
      <c r="A89" s="1" t="s">
        <v>30</v>
      </c>
      <c r="B89" s="27">
        <v>547408.56</v>
      </c>
      <c r="C89" s="27">
        <v>282971.26</v>
      </c>
      <c r="D89" s="27">
        <v>282684.22</v>
      </c>
      <c r="E89" s="28">
        <f>$D:$D/$B:$B*100</f>
        <v>51.64044566639585</v>
      </c>
      <c r="F89" s="28">
        <f>$D:$D/$C:$C*100</f>
        <v>99.89856213666361</v>
      </c>
      <c r="G89" s="104">
        <v>133962.7</v>
      </c>
      <c r="H89" s="28">
        <f>$D:$D/$G:$G*100</f>
        <v>211.01711147953867</v>
      </c>
      <c r="I89" s="33">
        <f>D89-сентябрь!D88</f>
        <v>90108.21999999997</v>
      </c>
    </row>
    <row r="90" spans="1:9" ht="12.75">
      <c r="A90" s="7" t="s">
        <v>31</v>
      </c>
      <c r="B90" s="26">
        <v>527.7</v>
      </c>
      <c r="C90" s="26">
        <v>416.74</v>
      </c>
      <c r="D90" s="26">
        <v>416.74</v>
      </c>
      <c r="E90" s="25">
        <f>$D:$D/$B:$B*100</f>
        <v>78.9729012696608</v>
      </c>
      <c r="F90" s="25">
        <f>$D:$D/$C:$C*100</f>
        <v>100</v>
      </c>
      <c r="G90" s="105">
        <v>311.9</v>
      </c>
      <c r="H90" s="25">
        <f>$D:$D/$G:$G*100</f>
        <v>133.61333760820776</v>
      </c>
      <c r="I90" s="33">
        <f>D90-сентябрь!D89</f>
        <v>24.639999999999986</v>
      </c>
    </row>
    <row r="91" spans="1:9" ht="25.5">
      <c r="A91" s="9" t="s">
        <v>32</v>
      </c>
      <c r="B91" s="26">
        <v>36924.74</v>
      </c>
      <c r="C91" s="26">
        <v>30012.37</v>
      </c>
      <c r="D91" s="26">
        <v>29897.86</v>
      </c>
      <c r="E91" s="25">
        <f>$D:$D/$B:$B*100</f>
        <v>80.96972382202286</v>
      </c>
      <c r="F91" s="25">
        <f>$D:$D/$C:$C*100</f>
        <v>99.61845732276392</v>
      </c>
      <c r="G91" s="105">
        <v>4644.9</v>
      </c>
      <c r="H91" s="25">
        <f>$D:$D/$G:$G*100</f>
        <v>643.6706925875693</v>
      </c>
      <c r="I91" s="33">
        <f>D91-сентябрь!D90</f>
        <v>994.3600000000006</v>
      </c>
    </row>
    <row r="92" spans="1:9" ht="12.75">
      <c r="A92" s="7" t="s">
        <v>33</v>
      </c>
      <c r="B92" s="33">
        <f>B93+B94+B95+B96+B97</f>
        <v>640279.69</v>
      </c>
      <c r="C92" s="33">
        <f>C93+C94+C95+C96+C97</f>
        <v>378496.61</v>
      </c>
      <c r="D92" s="33">
        <f>D93+D94+D95+D96+D97</f>
        <v>377824.49</v>
      </c>
      <c r="E92" s="33">
        <f>E93+E94+E95+E96</f>
        <v>139.90471401472487</v>
      </c>
      <c r="F92" s="33">
        <f>F93+F94+F95+F96</f>
        <v>199.99369143638893</v>
      </c>
      <c r="G92" s="33">
        <v>304196.3</v>
      </c>
      <c r="H92" s="25">
        <f>$D:$D/$G:$G*100</f>
        <v>124.20417013619168</v>
      </c>
      <c r="I92" s="33">
        <f>D92-сентябрь!D91</f>
        <v>42683.189999999944</v>
      </c>
    </row>
    <row r="93" spans="1:9" ht="12.75" customHeight="1" hidden="1">
      <c r="A93" s="10" t="s">
        <v>64</v>
      </c>
      <c r="B93" s="27">
        <v>0</v>
      </c>
      <c r="C93" s="27">
        <v>0</v>
      </c>
      <c r="D93" s="27">
        <v>0</v>
      </c>
      <c r="E93" s="28">
        <v>0</v>
      </c>
      <c r="F93" s="28">
        <v>0</v>
      </c>
      <c r="G93" s="34"/>
      <c r="H93" s="28" t="e">
        <f>$D:$D/$G:$G*100</f>
        <v>#DIV/0!</v>
      </c>
      <c r="I93" s="33">
        <f>D93-сентябрь!D92</f>
        <v>0</v>
      </c>
    </row>
    <row r="94" spans="1:9" ht="12.75">
      <c r="A94" s="10" t="s">
        <v>67</v>
      </c>
      <c r="B94" s="27">
        <v>14077.99</v>
      </c>
      <c r="C94" s="27">
        <v>953.38</v>
      </c>
      <c r="D94" s="27">
        <v>953.38</v>
      </c>
      <c r="E94" s="28">
        <f>$D:$D/$B:$B*100</f>
        <v>6.772131532981626</v>
      </c>
      <c r="F94" s="28">
        <v>0</v>
      </c>
      <c r="G94" s="104">
        <v>0</v>
      </c>
      <c r="H94" s="28">
        <v>0</v>
      </c>
      <c r="I94" s="33">
        <f>D94-сентябрь!D93</f>
        <v>154.48000000000002</v>
      </c>
    </row>
    <row r="95" spans="1:9" ht="12.75">
      <c r="A95" s="8" t="s">
        <v>34</v>
      </c>
      <c r="B95" s="27">
        <v>29101</v>
      </c>
      <c r="C95" s="27">
        <v>21683.05</v>
      </c>
      <c r="D95" s="27">
        <v>21683.05</v>
      </c>
      <c r="E95" s="28">
        <f>$D:$D/$B:$B*100</f>
        <v>74.50963884402597</v>
      </c>
      <c r="F95" s="28">
        <f>$D:$D/$C:$C*100</f>
        <v>100</v>
      </c>
      <c r="G95" s="104">
        <v>20846.6</v>
      </c>
      <c r="H95" s="28">
        <f aca="true" t="shared" si="3" ref="H95:H104">$D:$D/$G:$G*100</f>
        <v>104.01240490055932</v>
      </c>
      <c r="I95" s="33">
        <f>D95-сентябрь!D94</f>
        <v>2382.75</v>
      </c>
    </row>
    <row r="96" spans="1:9" ht="12.75">
      <c r="A96" s="10" t="s">
        <v>77</v>
      </c>
      <c r="B96" s="27">
        <v>552386.25</v>
      </c>
      <c r="C96" s="27">
        <v>323845.51</v>
      </c>
      <c r="D96" s="27">
        <v>323825.08</v>
      </c>
      <c r="E96" s="28">
        <f>$D:$D/$B:$B*100</f>
        <v>58.62294363771727</v>
      </c>
      <c r="F96" s="28">
        <f>$D:$D/$C:$C*100</f>
        <v>99.99369143638891</v>
      </c>
      <c r="G96" s="104">
        <v>257218.5</v>
      </c>
      <c r="H96" s="28">
        <f t="shared" si="3"/>
        <v>125.894941460276</v>
      </c>
      <c r="I96" s="33">
        <f>D96-сентябрь!D95</f>
        <v>38722.67999999999</v>
      </c>
    </row>
    <row r="97" spans="1:9" ht="12.75">
      <c r="A97" s="8" t="s">
        <v>35</v>
      </c>
      <c r="B97" s="27">
        <v>44714.45</v>
      </c>
      <c r="C97" s="27">
        <v>32014.67</v>
      </c>
      <c r="D97" s="27">
        <v>31362.98</v>
      </c>
      <c r="E97" s="28">
        <f>$D:$D/$B:$B*100</f>
        <v>70.14059213520461</v>
      </c>
      <c r="F97" s="28"/>
      <c r="G97" s="104">
        <v>26131.2</v>
      </c>
      <c r="H97" s="28">
        <f t="shared" si="3"/>
        <v>120.02120071026205</v>
      </c>
      <c r="I97" s="33">
        <f>D97-сентябрь!D96</f>
        <v>1423.2799999999988</v>
      </c>
    </row>
    <row r="98" spans="1:9" ht="12.75">
      <c r="A98" s="7" t="s">
        <v>36</v>
      </c>
      <c r="B98" s="33">
        <f>B100+B101+B102+B99</f>
        <v>497825.91</v>
      </c>
      <c r="C98" s="26">
        <f>C100+C101+C102+C99</f>
        <v>273278.48</v>
      </c>
      <c r="D98" s="33">
        <f>D100+D101+D102+D99</f>
        <v>273156.68</v>
      </c>
      <c r="E98" s="33">
        <f>E101+E102+E99</f>
        <v>117.25396560780592</v>
      </c>
      <c r="F98" s="25">
        <f>$D:$D/$C:$C*100</f>
        <v>99.95543007996824</v>
      </c>
      <c r="G98" s="33">
        <v>304712.60000000003</v>
      </c>
      <c r="H98" s="25">
        <f t="shared" si="3"/>
        <v>89.64403834957922</v>
      </c>
      <c r="I98" s="33">
        <f>D98-сентябрь!D97</f>
        <v>67455.08000000002</v>
      </c>
    </row>
    <row r="99" spans="1:9" ht="12.75">
      <c r="A99" s="8" t="s">
        <v>37</v>
      </c>
      <c r="B99" s="27">
        <v>86957.68</v>
      </c>
      <c r="C99" s="27">
        <v>46855.21</v>
      </c>
      <c r="D99" s="27">
        <v>46855.21</v>
      </c>
      <c r="E99" s="43">
        <v>0</v>
      </c>
      <c r="F99" s="28">
        <v>0</v>
      </c>
      <c r="G99" s="104">
        <v>26492.7</v>
      </c>
      <c r="H99" s="28">
        <f t="shared" si="3"/>
        <v>176.860833361643</v>
      </c>
      <c r="I99" s="33">
        <f>D99-сентябрь!D98</f>
        <v>2191.409999999996</v>
      </c>
    </row>
    <row r="100" spans="1:9" ht="12.75">
      <c r="A100" s="8" t="s">
        <v>38</v>
      </c>
      <c r="B100" s="27">
        <v>4597.49</v>
      </c>
      <c r="C100" s="27">
        <v>534.47</v>
      </c>
      <c r="D100" s="27">
        <v>534.47</v>
      </c>
      <c r="E100" s="28">
        <f aca="true" t="shared" si="4" ref="E100:E105">$D:$D/$B:$B*100</f>
        <v>11.625256389899707</v>
      </c>
      <c r="F100" s="28">
        <v>0</v>
      </c>
      <c r="G100" s="104">
        <v>9806.5</v>
      </c>
      <c r="H100" s="28">
        <f t="shared" si="3"/>
        <v>5.450160607760159</v>
      </c>
      <c r="I100" s="33">
        <f>D100-сентябрь!D99</f>
        <v>252.67000000000002</v>
      </c>
    </row>
    <row r="101" spans="1:9" ht="12.75">
      <c r="A101" s="8" t="s">
        <v>39</v>
      </c>
      <c r="B101" s="27">
        <v>298267.06</v>
      </c>
      <c r="C101" s="27">
        <v>155398.99</v>
      </c>
      <c r="D101" s="27">
        <v>155398.99</v>
      </c>
      <c r="E101" s="28">
        <f t="shared" si="4"/>
        <v>52.100620832887145</v>
      </c>
      <c r="F101" s="28">
        <f>$D:$D/$C:$C*100</f>
        <v>100</v>
      </c>
      <c r="G101" s="104">
        <v>192252.2</v>
      </c>
      <c r="H101" s="28">
        <f t="shared" si="3"/>
        <v>80.83079933545622</v>
      </c>
      <c r="I101" s="33">
        <f>D101-сентябрь!D100</f>
        <v>62496.59</v>
      </c>
    </row>
    <row r="102" spans="1:9" ht="12.75">
      <c r="A102" s="8" t="s">
        <v>40</v>
      </c>
      <c r="B102" s="27">
        <v>108003.68</v>
      </c>
      <c r="C102" s="27">
        <v>70489.81</v>
      </c>
      <c r="D102" s="27">
        <v>70368.01</v>
      </c>
      <c r="E102" s="28">
        <f t="shared" si="4"/>
        <v>65.15334477491878</v>
      </c>
      <c r="F102" s="28">
        <f>$D:$D/$C:$C*100</f>
        <v>99.82720906752337</v>
      </c>
      <c r="G102" s="104">
        <v>76161.2</v>
      </c>
      <c r="H102" s="28">
        <f t="shared" si="3"/>
        <v>92.3935153332668</v>
      </c>
      <c r="I102" s="33">
        <f>D102-сентябрь!D101</f>
        <v>2514.409999999989</v>
      </c>
    </row>
    <row r="103" spans="1:9" ht="12.75">
      <c r="A103" s="11" t="s">
        <v>115</v>
      </c>
      <c r="B103" s="33">
        <f>B104+B105</f>
        <v>16942.14</v>
      </c>
      <c r="C103" s="33">
        <f>C104+C105</f>
        <v>2090</v>
      </c>
      <c r="D103" s="33">
        <f>D104+D105</f>
        <v>2090</v>
      </c>
      <c r="E103" s="25">
        <f t="shared" si="4"/>
        <v>12.336103939643989</v>
      </c>
      <c r="F103" s="25"/>
      <c r="G103" s="33">
        <v>1059</v>
      </c>
      <c r="H103" s="25">
        <f t="shared" si="3"/>
        <v>197.35599622285173</v>
      </c>
      <c r="I103" s="33">
        <f>D103-сентябрь!D102</f>
        <v>0</v>
      </c>
    </row>
    <row r="104" spans="1:9" ht="25.5">
      <c r="A104" s="39" t="s">
        <v>143</v>
      </c>
      <c r="B104" s="27">
        <v>2866.94</v>
      </c>
      <c r="C104" s="27">
        <v>2090</v>
      </c>
      <c r="D104" s="27">
        <v>2090</v>
      </c>
      <c r="E104" s="28">
        <f t="shared" si="4"/>
        <v>72.90002581149238</v>
      </c>
      <c r="F104" s="28"/>
      <c r="G104" s="104">
        <v>1059</v>
      </c>
      <c r="H104" s="28">
        <f t="shared" si="3"/>
        <v>197.35599622285173</v>
      </c>
      <c r="I104" s="33">
        <f>D104-сентябрь!D103</f>
        <v>0</v>
      </c>
    </row>
    <row r="105" spans="1:9" ht="25.5">
      <c r="A105" s="8" t="s">
        <v>165</v>
      </c>
      <c r="B105" s="27">
        <v>14075.2</v>
      </c>
      <c r="C105" s="27">
        <v>0</v>
      </c>
      <c r="D105" s="27">
        <v>0</v>
      </c>
      <c r="E105" s="28">
        <f t="shared" si="4"/>
        <v>0</v>
      </c>
      <c r="F105" s="28"/>
      <c r="G105" s="104">
        <v>0</v>
      </c>
      <c r="H105" s="28">
        <v>0</v>
      </c>
      <c r="I105" s="33">
        <f>D105-сентябрь!D104</f>
        <v>0</v>
      </c>
    </row>
    <row r="106" spans="1:9" ht="12.75">
      <c r="A106" s="11" t="s">
        <v>41</v>
      </c>
      <c r="B106" s="33">
        <f>B107+B108+B110+B111+B112+B109</f>
        <v>1965247.05</v>
      </c>
      <c r="C106" s="33">
        <f>C107+C108+C110+C111+C112+C109</f>
        <v>1532949.12</v>
      </c>
      <c r="D106" s="33">
        <f>D107+D108+D110+D111+D112+D109</f>
        <v>1532789.3800000001</v>
      </c>
      <c r="E106" s="33">
        <f>E107+E108+E111+E112+E110</f>
        <v>362.0672850083029</v>
      </c>
      <c r="F106" s="33">
        <f>F107+F108+F111+F112+F110</f>
        <v>499.9244020777355</v>
      </c>
      <c r="G106" s="33">
        <v>1361114.2</v>
      </c>
      <c r="H106" s="25">
        <f aca="true" t="shared" si="5" ref="H106:H130">$D:$D/$G:$G*100</f>
        <v>112.61284174391835</v>
      </c>
      <c r="I106" s="33">
        <f>D106-сентябрь!D105</f>
        <v>153007.07999999984</v>
      </c>
    </row>
    <row r="107" spans="1:9" ht="12.75">
      <c r="A107" s="8" t="s">
        <v>42</v>
      </c>
      <c r="B107" s="27">
        <v>744415.1</v>
      </c>
      <c r="C107" s="27">
        <v>592975.76</v>
      </c>
      <c r="D107" s="27">
        <v>592975.76</v>
      </c>
      <c r="E107" s="28">
        <f aca="true" t="shared" si="6" ref="E107:E117">$D:$D/$B:$B*100</f>
        <v>79.65660019524053</v>
      </c>
      <c r="F107" s="28">
        <f aca="true" t="shared" si="7" ref="F107:F115">$D:$D/$C:$C*100</f>
        <v>100</v>
      </c>
      <c r="G107" s="104">
        <v>515314</v>
      </c>
      <c r="H107" s="28">
        <f t="shared" si="5"/>
        <v>115.07076462118242</v>
      </c>
      <c r="I107" s="33">
        <f>D107-сентябрь!D106</f>
        <v>58857.859999999986</v>
      </c>
    </row>
    <row r="108" spans="1:9" ht="12.75">
      <c r="A108" s="8" t="s">
        <v>43</v>
      </c>
      <c r="B108" s="27">
        <v>810609.5</v>
      </c>
      <c r="C108" s="27">
        <v>621293.84</v>
      </c>
      <c r="D108" s="27">
        <v>621262.42</v>
      </c>
      <c r="E108" s="28">
        <f t="shared" si="6"/>
        <v>76.64139391408564</v>
      </c>
      <c r="F108" s="28">
        <f t="shared" si="7"/>
        <v>99.99494281160104</v>
      </c>
      <c r="G108" s="104">
        <v>555048.2</v>
      </c>
      <c r="H108" s="28">
        <f t="shared" si="5"/>
        <v>111.92945405462086</v>
      </c>
      <c r="I108" s="33">
        <f>D108-сентябрь!D107</f>
        <v>64098.02000000002</v>
      </c>
    </row>
    <row r="109" spans="1:9" ht="12.75">
      <c r="A109" s="21" t="s">
        <v>105</v>
      </c>
      <c r="B109" s="27">
        <v>154993.05</v>
      </c>
      <c r="C109" s="27">
        <v>117863.28</v>
      </c>
      <c r="D109" s="27">
        <v>117863.28</v>
      </c>
      <c r="E109" s="28">
        <f t="shared" si="6"/>
        <v>76.04423553185127</v>
      </c>
      <c r="F109" s="28">
        <f t="shared" si="7"/>
        <v>100</v>
      </c>
      <c r="G109" s="104">
        <v>114929.2</v>
      </c>
      <c r="H109" s="28">
        <f t="shared" si="5"/>
        <v>102.55294563957638</v>
      </c>
      <c r="I109" s="33">
        <f>D109-сентябрь!D108</f>
        <v>12887.179999999993</v>
      </c>
    </row>
    <row r="110" spans="1:9" ht="25.5">
      <c r="A110" s="8" t="s">
        <v>123</v>
      </c>
      <c r="B110" s="27">
        <v>302.76</v>
      </c>
      <c r="C110" s="27">
        <v>149.94</v>
      </c>
      <c r="D110" s="27">
        <v>149.94</v>
      </c>
      <c r="E110" s="28">
        <f t="shared" si="6"/>
        <v>49.5243757431629</v>
      </c>
      <c r="F110" s="28">
        <f t="shared" si="7"/>
        <v>100</v>
      </c>
      <c r="G110" s="104">
        <v>458.7</v>
      </c>
      <c r="H110" s="28">
        <f t="shared" si="5"/>
        <v>32.68803139306736</v>
      </c>
      <c r="I110" s="33">
        <f>D110-сентябрь!D109</f>
        <v>50.84</v>
      </c>
    </row>
    <row r="111" spans="1:9" ht="12.75">
      <c r="A111" s="8" t="s">
        <v>44</v>
      </c>
      <c r="B111" s="27">
        <v>24217.65</v>
      </c>
      <c r="C111" s="27">
        <v>18757.22</v>
      </c>
      <c r="D111" s="27">
        <v>18757.22</v>
      </c>
      <c r="E111" s="28">
        <f t="shared" si="6"/>
        <v>77.45268430256445</v>
      </c>
      <c r="F111" s="28">
        <f t="shared" si="7"/>
        <v>100</v>
      </c>
      <c r="G111" s="104">
        <v>38737.6</v>
      </c>
      <c r="H111" s="28">
        <f t="shared" si="5"/>
        <v>48.42122382388171</v>
      </c>
      <c r="I111" s="33">
        <f>D111-сентябрь!D110</f>
        <v>2223.0200000000004</v>
      </c>
    </row>
    <row r="112" spans="1:9" ht="12.75">
      <c r="A112" s="8" t="s">
        <v>45</v>
      </c>
      <c r="B112" s="27">
        <v>230708.99</v>
      </c>
      <c r="C112" s="27">
        <v>181909.08</v>
      </c>
      <c r="D112" s="27">
        <v>181780.76</v>
      </c>
      <c r="E112" s="28">
        <f t="shared" si="6"/>
        <v>78.79223085324938</v>
      </c>
      <c r="F112" s="28">
        <f t="shared" si="7"/>
        <v>99.9294592661345</v>
      </c>
      <c r="G112" s="104">
        <v>136626.5</v>
      </c>
      <c r="H112" s="28">
        <f t="shared" si="5"/>
        <v>133.04941574291956</v>
      </c>
      <c r="I112" s="33">
        <f>D112-сентябрь!D111</f>
        <v>14890.160000000003</v>
      </c>
    </row>
    <row r="113" spans="1:9" ht="25.5">
      <c r="A113" s="11" t="s">
        <v>46</v>
      </c>
      <c r="B113" s="33">
        <f>B114+B115</f>
        <v>370121.81</v>
      </c>
      <c r="C113" s="33">
        <f>C114+C115</f>
        <v>250622.41999999998</v>
      </c>
      <c r="D113" s="33">
        <f>D114+D115</f>
        <v>250559.56</v>
      </c>
      <c r="E113" s="25">
        <f t="shared" si="6"/>
        <v>67.69651321006995</v>
      </c>
      <c r="F113" s="25">
        <f t="shared" si="7"/>
        <v>99.97491844504574</v>
      </c>
      <c r="G113" s="33">
        <v>167129.8</v>
      </c>
      <c r="H113" s="25">
        <f t="shared" si="5"/>
        <v>149.9191406918455</v>
      </c>
      <c r="I113" s="33">
        <f>D113-сентябрь!D112</f>
        <v>16659.25999999998</v>
      </c>
    </row>
    <row r="114" spans="1:9" ht="12.75">
      <c r="A114" s="8" t="s">
        <v>47</v>
      </c>
      <c r="B114" s="27">
        <v>239054.61</v>
      </c>
      <c r="C114" s="27">
        <v>185174.78</v>
      </c>
      <c r="D114" s="27">
        <v>185151.84</v>
      </c>
      <c r="E114" s="28">
        <f t="shared" si="6"/>
        <v>77.4516918958392</v>
      </c>
      <c r="F114" s="28">
        <f t="shared" si="7"/>
        <v>99.98761170392642</v>
      </c>
      <c r="G114" s="104">
        <v>142629.5</v>
      </c>
      <c r="H114" s="28">
        <f t="shared" si="5"/>
        <v>129.81314524695102</v>
      </c>
      <c r="I114" s="33">
        <f>D114-сентябрь!D113</f>
        <v>15922.139999999985</v>
      </c>
    </row>
    <row r="115" spans="1:9" ht="25.5">
      <c r="A115" s="8" t="s">
        <v>48</v>
      </c>
      <c r="B115" s="27">
        <v>131067.2</v>
      </c>
      <c r="C115" s="27">
        <v>65447.64</v>
      </c>
      <c r="D115" s="27">
        <v>65407.72</v>
      </c>
      <c r="E115" s="28">
        <f t="shared" si="6"/>
        <v>49.90395766446525</v>
      </c>
      <c r="F115" s="28">
        <f t="shared" si="7"/>
        <v>99.93900467610445</v>
      </c>
      <c r="G115" s="104">
        <v>24500.3</v>
      </c>
      <c r="H115" s="28">
        <f t="shared" si="5"/>
        <v>266.9670167304074</v>
      </c>
      <c r="I115" s="33">
        <f>D115-сентябрь!D114</f>
        <v>737.1200000000026</v>
      </c>
    </row>
    <row r="116" spans="1:9" ht="12.75">
      <c r="A116" s="11" t="s">
        <v>97</v>
      </c>
      <c r="B116" s="33">
        <f>B117</f>
        <v>163.45</v>
      </c>
      <c r="C116" s="33">
        <f>C117</f>
        <v>163.5</v>
      </c>
      <c r="D116" s="33">
        <f>D117</f>
        <v>163.5</v>
      </c>
      <c r="E116" s="25">
        <f t="shared" si="6"/>
        <v>100.0305903946161</v>
      </c>
      <c r="F116" s="25">
        <v>0</v>
      </c>
      <c r="G116" s="33">
        <v>195.8</v>
      </c>
      <c r="H116" s="25">
        <f t="shared" si="5"/>
        <v>83.50357507660878</v>
      </c>
      <c r="I116" s="33">
        <f>D116-сентябрь!D115</f>
        <v>0</v>
      </c>
    </row>
    <row r="117" spans="1:9" ht="12.75">
      <c r="A117" s="8" t="s">
        <v>98</v>
      </c>
      <c r="B117" s="27">
        <v>163.45</v>
      </c>
      <c r="C117" s="27">
        <v>163.5</v>
      </c>
      <c r="D117" s="27">
        <v>163.5</v>
      </c>
      <c r="E117" s="28">
        <f t="shared" si="6"/>
        <v>100.0305903946161</v>
      </c>
      <c r="F117" s="28">
        <v>0</v>
      </c>
      <c r="G117" s="34">
        <v>195.8</v>
      </c>
      <c r="H117" s="28">
        <f t="shared" si="5"/>
        <v>83.50357507660878</v>
      </c>
      <c r="I117" s="33">
        <f>D117-сентябрь!D116</f>
        <v>0</v>
      </c>
    </row>
    <row r="118" spans="1:9" ht="12.75">
      <c r="A118" s="11" t="s">
        <v>49</v>
      </c>
      <c r="B118" s="33">
        <f>B119+B121+B122+B123</f>
        <v>154544.26</v>
      </c>
      <c r="C118" s="33">
        <f>C119+C121+C122+C123</f>
        <v>109954.58</v>
      </c>
      <c r="D118" s="33">
        <f>D119+D121+D122+D123</f>
        <v>109834.11</v>
      </c>
      <c r="E118" s="33">
        <f>E119+E120+E121+E122</f>
        <v>215.22433958170217</v>
      </c>
      <c r="F118" s="33" t="e">
        <f>F119+F120+F121+F122</f>
        <v>#DIV/0!</v>
      </c>
      <c r="G118" s="33">
        <v>105937.4</v>
      </c>
      <c r="H118" s="25">
        <f t="shared" si="5"/>
        <v>103.67831379663839</v>
      </c>
      <c r="I118" s="33">
        <f>D118-сентябрь!D117</f>
        <v>11132.910000000003</v>
      </c>
    </row>
    <row r="119" spans="1:9" ht="12.75">
      <c r="A119" s="8" t="s">
        <v>50</v>
      </c>
      <c r="B119" s="27">
        <v>3025.38</v>
      </c>
      <c r="C119" s="27">
        <v>2069.82</v>
      </c>
      <c r="D119" s="27">
        <v>2067.82</v>
      </c>
      <c r="E119" s="28">
        <f>$D:$D/$B:$B*100</f>
        <v>68.34909994777516</v>
      </c>
      <c r="F119" s="28">
        <v>0</v>
      </c>
      <c r="G119" s="104">
        <v>1889.4</v>
      </c>
      <c r="H119" s="28">
        <f t="shared" si="5"/>
        <v>109.44320948449244</v>
      </c>
      <c r="I119" s="33">
        <f>D119-сентябрь!D118</f>
        <v>358.5200000000002</v>
      </c>
    </row>
    <row r="120" spans="1:9" ht="12.75" hidden="1">
      <c r="A120" s="8" t="s">
        <v>51</v>
      </c>
      <c r="B120" s="22">
        <v>0</v>
      </c>
      <c r="C120" s="22">
        <v>0</v>
      </c>
      <c r="D120" s="22">
        <v>0</v>
      </c>
      <c r="E120" s="28">
        <v>0</v>
      </c>
      <c r="F120" s="28" t="e">
        <f>$D:$D/$C:$C*100</f>
        <v>#DIV/0!</v>
      </c>
      <c r="G120" s="104">
        <v>0</v>
      </c>
      <c r="H120" s="28" t="e">
        <f t="shared" si="5"/>
        <v>#DIV/0!</v>
      </c>
      <c r="I120" s="33">
        <f>D120-сентябрь!D119</f>
        <v>0</v>
      </c>
    </row>
    <row r="121" spans="1:9" ht="12.75">
      <c r="A121" s="8" t="s">
        <v>52</v>
      </c>
      <c r="B121" s="27">
        <v>94899.59</v>
      </c>
      <c r="C121" s="27">
        <v>61544.21</v>
      </c>
      <c r="D121" s="27">
        <v>61544.21</v>
      </c>
      <c r="E121" s="28">
        <f>$D:$D/$B:$B*100</f>
        <v>64.85192401779607</v>
      </c>
      <c r="F121" s="28">
        <v>0</v>
      </c>
      <c r="G121" s="104">
        <v>55866.4</v>
      </c>
      <c r="H121" s="28">
        <f t="shared" si="5"/>
        <v>110.16319290306875</v>
      </c>
      <c r="I121" s="33">
        <f>D121-сентябрь!D120</f>
        <v>5920.709999999999</v>
      </c>
    </row>
    <row r="122" spans="1:9" ht="12.75">
      <c r="A122" s="8" t="s">
        <v>53</v>
      </c>
      <c r="B122" s="27">
        <v>54015.3</v>
      </c>
      <c r="C122" s="27">
        <v>44342.95</v>
      </c>
      <c r="D122" s="27">
        <v>44305.14</v>
      </c>
      <c r="E122" s="28">
        <f>$D:$D/$B:$B*100</f>
        <v>82.02331561613097</v>
      </c>
      <c r="F122" s="28">
        <f>$D:$D/$C:$C*100</f>
        <v>99.9147327816485</v>
      </c>
      <c r="G122" s="104">
        <v>46505.1</v>
      </c>
      <c r="H122" s="28">
        <f t="shared" si="5"/>
        <v>95.2694220633866</v>
      </c>
      <c r="I122" s="33">
        <f>D122-сентябрь!D121</f>
        <v>4680.040000000001</v>
      </c>
    </row>
    <row r="123" spans="1:9" ht="12.75">
      <c r="A123" s="8" t="s">
        <v>54</v>
      </c>
      <c r="B123" s="27">
        <v>2603.99</v>
      </c>
      <c r="C123" s="27">
        <v>1997.6</v>
      </c>
      <c r="D123" s="27">
        <v>1916.94</v>
      </c>
      <c r="E123" s="28">
        <f>$D:$D/$B:$B*100</f>
        <v>73.61549007484669</v>
      </c>
      <c r="F123" s="28"/>
      <c r="G123" s="104">
        <v>1676.5</v>
      </c>
      <c r="H123" s="28">
        <f t="shared" si="5"/>
        <v>114.34178347748285</v>
      </c>
      <c r="I123" s="33">
        <f>D123-сентябрь!D122</f>
        <v>173.6400000000001</v>
      </c>
    </row>
    <row r="124" spans="1:9" ht="12.75">
      <c r="A124" s="11" t="s">
        <v>61</v>
      </c>
      <c r="B124" s="26">
        <f>B125+B126+B127</f>
        <v>361261.42</v>
      </c>
      <c r="C124" s="26">
        <f>C125+C126+C127</f>
        <v>190018.25999999998</v>
      </c>
      <c r="D124" s="26">
        <f>D125+D126+D127</f>
        <v>189965.15</v>
      </c>
      <c r="E124" s="25">
        <f>$D:$D/$B:$B*100</f>
        <v>52.58384634595081</v>
      </c>
      <c r="F124" s="25">
        <f>$D:$D/$C:$C*100</f>
        <v>99.97205005455793</v>
      </c>
      <c r="G124" s="26">
        <v>171513.30000000002</v>
      </c>
      <c r="H124" s="25">
        <f t="shared" si="5"/>
        <v>110.75826189572469</v>
      </c>
      <c r="I124" s="33">
        <f>D124-сентябрь!D123</f>
        <v>28878.649999999965</v>
      </c>
    </row>
    <row r="125" spans="1:9" ht="12.75">
      <c r="A125" s="39" t="s">
        <v>62</v>
      </c>
      <c r="B125" s="27">
        <v>294701.59</v>
      </c>
      <c r="C125" s="27">
        <v>141843.33</v>
      </c>
      <c r="D125" s="27">
        <v>141843.24</v>
      </c>
      <c r="E125" s="28">
        <f>$D:$D/$B:$B*100</f>
        <v>48.13114174239779</v>
      </c>
      <c r="F125" s="28">
        <f>$D:$D/$C:$C*100</f>
        <v>99.99993654971298</v>
      </c>
      <c r="G125" s="104">
        <v>74163.1</v>
      </c>
      <c r="H125" s="28">
        <f t="shared" si="5"/>
        <v>191.25850995980477</v>
      </c>
      <c r="I125" s="33">
        <f>D125-сентябрь!D124</f>
        <v>23851.639999999985</v>
      </c>
    </row>
    <row r="126" spans="1:9" ht="24.75" customHeight="1">
      <c r="A126" s="12" t="s">
        <v>63</v>
      </c>
      <c r="B126" s="27">
        <v>61380.86</v>
      </c>
      <c r="C126" s="27">
        <v>44341.19</v>
      </c>
      <c r="D126" s="27">
        <v>44339.09</v>
      </c>
      <c r="E126" s="28">
        <v>0</v>
      </c>
      <c r="F126" s="28">
        <v>0</v>
      </c>
      <c r="G126" s="104">
        <v>94155.1</v>
      </c>
      <c r="H126" s="28">
        <f t="shared" si="5"/>
        <v>47.091543633855196</v>
      </c>
      <c r="I126" s="33">
        <f>D126-сентябрь!D125</f>
        <v>4644.289999999994</v>
      </c>
    </row>
    <row r="127" spans="1:9" ht="25.5">
      <c r="A127" s="12" t="s">
        <v>73</v>
      </c>
      <c r="B127" s="27">
        <v>5178.97</v>
      </c>
      <c r="C127" s="27">
        <v>3833.74</v>
      </c>
      <c r="D127" s="27">
        <v>3782.82</v>
      </c>
      <c r="E127" s="28">
        <f>$D:$D/$B:$B*100</f>
        <v>73.04193691023505</v>
      </c>
      <c r="F127" s="28">
        <f>$D:$D/$C:$C*100</f>
        <v>98.67179307934289</v>
      </c>
      <c r="G127" s="104">
        <v>3195.1</v>
      </c>
      <c r="H127" s="28">
        <f t="shared" si="5"/>
        <v>118.39441645018935</v>
      </c>
      <c r="I127" s="33">
        <f>D127-сентябрь!D126</f>
        <v>382.72000000000025</v>
      </c>
    </row>
    <row r="128" spans="1:9" s="99" customFormat="1" ht="26.25" customHeight="1">
      <c r="A128" s="13" t="s">
        <v>80</v>
      </c>
      <c r="B128" s="26">
        <v>5.8</v>
      </c>
      <c r="C128" s="26">
        <v>5.75</v>
      </c>
      <c r="D128" s="26">
        <v>5.75</v>
      </c>
      <c r="E128" s="25">
        <f>$D:$D/$B:$B*100</f>
        <v>99.13793103448276</v>
      </c>
      <c r="F128" s="25">
        <v>0</v>
      </c>
      <c r="G128" s="104">
        <v>2.01384</v>
      </c>
      <c r="H128" s="28">
        <f t="shared" si="5"/>
        <v>285.52417272474474</v>
      </c>
      <c r="I128" s="33">
        <f>D128-сентябрь!D127</f>
        <v>0</v>
      </c>
    </row>
    <row r="129" spans="1:9" ht="13.5" customHeight="1">
      <c r="A129" s="12" t="s">
        <v>81</v>
      </c>
      <c r="B129" s="27">
        <v>5.8</v>
      </c>
      <c r="C129" s="27">
        <v>5.75</v>
      </c>
      <c r="D129" s="27">
        <v>5.75</v>
      </c>
      <c r="E129" s="28">
        <f>$D:$D/$B:$B*100</f>
        <v>99.13793103448276</v>
      </c>
      <c r="F129" s="28">
        <v>0</v>
      </c>
      <c r="G129" s="34">
        <v>2.01</v>
      </c>
      <c r="H129" s="28">
        <f t="shared" si="5"/>
        <v>286.06965174129357</v>
      </c>
      <c r="I129" s="33">
        <f>D129-сентябрь!D128</f>
        <v>0</v>
      </c>
    </row>
    <row r="130" spans="1:9" ht="15.75" customHeight="1">
      <c r="A130" s="14" t="s">
        <v>55</v>
      </c>
      <c r="B130" s="33">
        <f>B81+B90+B91+B92+B98+B106+B113+B116+B118+B124+B128+B103</f>
        <v>4693688.399999999</v>
      </c>
      <c r="C130" s="33">
        <f>C81+C90+C91+C92+C98+C106+C113+C116+C118+C124+C128+C103</f>
        <v>3132452.4699999997</v>
      </c>
      <c r="D130" s="33">
        <f>D81+D90+D91+D92+D98+D106+D113+D116+D118+D124+D128+D103</f>
        <v>3128426.84</v>
      </c>
      <c r="E130" s="25">
        <f>$D:$D/$B:$B*100</f>
        <v>66.65177944066333</v>
      </c>
      <c r="F130" s="25">
        <f>$D:$D/$C:$C*100</f>
        <v>99.87148631819464</v>
      </c>
      <c r="G130" s="33">
        <v>2630269.9838399994</v>
      </c>
      <c r="H130" s="25">
        <f t="shared" si="5"/>
        <v>118.93938109854139</v>
      </c>
      <c r="I130" s="33">
        <f>D130-сентябрь!D129</f>
        <v>417313.0499999998</v>
      </c>
    </row>
    <row r="131" spans="1:9" ht="26.25" customHeight="1">
      <c r="A131" s="79" t="s">
        <v>56</v>
      </c>
      <c r="B131" s="80">
        <f>B75-B130</f>
        <v>-84397.50999999978</v>
      </c>
      <c r="C131" s="80">
        <f>C75-C130</f>
        <v>94957.6400000006</v>
      </c>
      <c r="D131" s="80">
        <f>D75-D130</f>
        <v>149032.3200000003</v>
      </c>
      <c r="E131" s="80"/>
      <c r="F131" s="80"/>
      <c r="G131" s="33">
        <v>227174.51616000058</v>
      </c>
      <c r="H131" s="80"/>
      <c r="I131" s="33">
        <f>D131-сентябрь!D130</f>
        <v>-49969.16999999946</v>
      </c>
    </row>
    <row r="132" spans="1:9" ht="24" customHeight="1">
      <c r="A132" s="1" t="s">
        <v>57</v>
      </c>
      <c r="B132" s="27" t="s">
        <v>159</v>
      </c>
      <c r="C132" s="27"/>
      <c r="D132" s="27" t="s">
        <v>196</v>
      </c>
      <c r="E132" s="27"/>
      <c r="F132" s="27"/>
      <c r="G132" s="27" t="s">
        <v>195</v>
      </c>
      <c r="H132" s="26"/>
      <c r="I132" s="33"/>
    </row>
    <row r="133" spans="1:9" ht="12.75">
      <c r="A133" s="3" t="s">
        <v>58</v>
      </c>
      <c r="B133" s="77">
        <f>B135+B136</f>
        <v>99223.6</v>
      </c>
      <c r="C133" s="77">
        <f>C135+C136</f>
        <v>0</v>
      </c>
      <c r="D133" s="77">
        <f>D135+D136</f>
        <v>253255.8</v>
      </c>
      <c r="E133" s="77"/>
      <c r="F133" s="77">
        <f>F135+F136</f>
        <v>0</v>
      </c>
      <c r="G133" s="106">
        <v>257995</v>
      </c>
      <c r="H133" s="77"/>
      <c r="I133" s="33">
        <f>D133-сентябрь!D132</f>
        <v>-9969.23000000004</v>
      </c>
    </row>
    <row r="134" spans="1:9" ht="12" customHeight="1">
      <c r="A134" s="1" t="s">
        <v>6</v>
      </c>
      <c r="B134" s="78"/>
      <c r="C134" s="27"/>
      <c r="D134" s="27"/>
      <c r="E134" s="27"/>
      <c r="F134" s="27"/>
      <c r="G134" s="27"/>
      <c r="H134" s="35"/>
      <c r="I134" s="33"/>
    </row>
    <row r="135" spans="1:9" ht="12.75">
      <c r="A135" s="5" t="s">
        <v>59</v>
      </c>
      <c r="B135" s="78">
        <v>53815.7</v>
      </c>
      <c r="C135" s="27"/>
      <c r="D135" s="27">
        <v>186853.5</v>
      </c>
      <c r="E135" s="27"/>
      <c r="F135" s="27"/>
      <c r="G135" s="27">
        <v>219289.8</v>
      </c>
      <c r="H135" s="35"/>
      <c r="I135" s="33">
        <f>D135-сентябрь!D134</f>
        <v>-35002.44</v>
      </c>
    </row>
    <row r="136" spans="1:9" ht="12.75">
      <c r="A136" s="1" t="s">
        <v>60</v>
      </c>
      <c r="B136" s="78">
        <f>99223.6-B135</f>
        <v>45407.90000000001</v>
      </c>
      <c r="C136" s="27"/>
      <c r="D136" s="27">
        <f>253255.8-186853.5</f>
        <v>66402.29999999999</v>
      </c>
      <c r="E136" s="27"/>
      <c r="F136" s="27"/>
      <c r="G136" s="27">
        <v>38705.20000000001</v>
      </c>
      <c r="H136" s="35"/>
      <c r="I136" s="33">
        <f>D136-сентябрь!D135</f>
        <v>25033.209999999992</v>
      </c>
    </row>
    <row r="137" spans="1:9" ht="12.75">
      <c r="A137" s="3" t="s">
        <v>99</v>
      </c>
      <c r="B137" s="26">
        <f>B138-B139</f>
        <v>22950</v>
      </c>
      <c r="C137" s="26">
        <f>C138-C139</f>
        <v>5000</v>
      </c>
      <c r="D137" s="26">
        <f>D138-D139</f>
        <v>5000</v>
      </c>
      <c r="E137" s="26"/>
      <c r="F137" s="26">
        <f>F138-F139</f>
        <v>0</v>
      </c>
      <c r="G137" s="26">
        <v>-12050</v>
      </c>
      <c r="H137" s="26"/>
      <c r="I137" s="33">
        <f>D137-сентябрь!D136</f>
        <v>40000</v>
      </c>
    </row>
    <row r="138" spans="1:9" ht="12.75">
      <c r="A138" s="2" t="s">
        <v>100</v>
      </c>
      <c r="B138" s="27">
        <v>35000</v>
      </c>
      <c r="C138" s="27">
        <v>40000</v>
      </c>
      <c r="D138" s="27">
        <v>40000</v>
      </c>
      <c r="E138" s="36"/>
      <c r="F138" s="36"/>
      <c r="G138" s="36">
        <v>0</v>
      </c>
      <c r="H138" s="37"/>
      <c r="I138" s="33">
        <f>D138-сентябрь!D137</f>
        <v>40000</v>
      </c>
    </row>
    <row r="139" spans="1:9" ht="12.75">
      <c r="A139" s="2" t="s">
        <v>101</v>
      </c>
      <c r="B139" s="27">
        <v>12050</v>
      </c>
      <c r="C139" s="27">
        <v>35000</v>
      </c>
      <c r="D139" s="27">
        <v>35000</v>
      </c>
      <c r="E139" s="36"/>
      <c r="F139" s="36"/>
      <c r="G139" s="27">
        <v>12050</v>
      </c>
      <c r="H139" s="37"/>
      <c r="I139" s="33">
        <f>D139-сентябрь!D138</f>
        <v>0</v>
      </c>
    </row>
    <row r="140" spans="1:9" ht="12.75">
      <c r="A140" s="15"/>
      <c r="B140" s="24"/>
      <c r="C140" s="24"/>
      <c r="D140" s="24"/>
      <c r="E140" s="24"/>
      <c r="F140" s="24"/>
      <c r="G140" s="84"/>
      <c r="H140" s="24"/>
      <c r="I140" s="24"/>
    </row>
    <row r="142" ht="12" customHeight="1">
      <c r="A142" s="21" t="s">
        <v>79</v>
      </c>
    </row>
    <row r="143" ht="12.75" customHeight="1" hidden="1"/>
    <row r="145" spans="1:9" ht="25.5">
      <c r="A145" s="15" t="s">
        <v>103</v>
      </c>
      <c r="B145" s="24"/>
      <c r="C145" s="24"/>
      <c r="D145" s="24" t="s">
        <v>137</v>
      </c>
      <c r="E145" s="24"/>
      <c r="F145" s="24"/>
      <c r="G145" s="84"/>
      <c r="H145" s="24"/>
      <c r="I145" s="24"/>
    </row>
  </sheetData>
  <sheetProtection/>
  <mergeCells count="5">
    <mergeCell ref="A1:H1"/>
    <mergeCell ref="A2:H2"/>
    <mergeCell ref="A3:H3"/>
    <mergeCell ref="A6:I6"/>
    <mergeCell ref="A80:I80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2" sqref="C12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85" customWidth="1"/>
    <col min="8" max="8" width="11.875" style="22" customWidth="1"/>
    <col min="9" max="9" width="10.00390625" style="22" customWidth="1"/>
    <col min="10" max="10" width="9.125" style="21" customWidth="1"/>
    <col min="11" max="13" width="10.00390625" style="21" bestFit="1" customWidth="1"/>
    <col min="14" max="16384" width="9.125" style="21" customWidth="1"/>
  </cols>
  <sheetData>
    <row r="1" spans="1:9" ht="12.75">
      <c r="A1" s="117" t="s">
        <v>102</v>
      </c>
      <c r="B1" s="117"/>
      <c r="C1" s="117"/>
      <c r="D1" s="117"/>
      <c r="E1" s="117"/>
      <c r="F1" s="117"/>
      <c r="G1" s="117"/>
      <c r="H1" s="117"/>
      <c r="I1" s="86"/>
    </row>
    <row r="2" spans="1:9" ht="12.75">
      <c r="A2" s="118" t="s">
        <v>197</v>
      </c>
      <c r="B2" s="118"/>
      <c r="C2" s="118"/>
      <c r="D2" s="118"/>
      <c r="E2" s="118"/>
      <c r="F2" s="118"/>
      <c r="G2" s="118"/>
      <c r="H2" s="118"/>
      <c r="I2" s="87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1"/>
    </row>
    <row r="4" spans="1:9" ht="45" customHeight="1">
      <c r="A4" s="4" t="s">
        <v>1</v>
      </c>
      <c r="B4" s="17" t="s">
        <v>2</v>
      </c>
      <c r="C4" s="17" t="s">
        <v>193</v>
      </c>
      <c r="D4" s="17" t="s">
        <v>68</v>
      </c>
      <c r="E4" s="17" t="s">
        <v>66</v>
      </c>
      <c r="F4" s="17" t="s">
        <v>69</v>
      </c>
      <c r="G4" s="101" t="s">
        <v>156</v>
      </c>
      <c r="H4" s="17" t="s">
        <v>65</v>
      </c>
      <c r="I4" s="17" t="s">
        <v>71</v>
      </c>
    </row>
    <row r="5" spans="1:9" ht="12.75">
      <c r="A5" s="88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ht="12.75">
      <c r="A6" s="119" t="s">
        <v>3</v>
      </c>
      <c r="B6" s="119"/>
      <c r="C6" s="119"/>
      <c r="D6" s="119"/>
      <c r="E6" s="119"/>
      <c r="F6" s="119"/>
      <c r="G6" s="119"/>
      <c r="H6" s="119"/>
      <c r="I6" s="120"/>
    </row>
    <row r="7" spans="1:9" ht="12.75">
      <c r="A7" s="46" t="s">
        <v>104</v>
      </c>
      <c r="B7" s="33">
        <f>B8+B18+B23+B28+B31+B39+B48+B49+B50+B54+B65</f>
        <v>739904.49</v>
      </c>
      <c r="C7" s="33">
        <f>C8+C18+C23+C28+C31+C39+C48+C49+C50+C54+C65</f>
        <v>639038.1900000003</v>
      </c>
      <c r="D7" s="33">
        <f>D8+D18+D23+D28+D31+D39+D48+D49+D50+D54+D65+D38</f>
        <v>661185.6199999999</v>
      </c>
      <c r="E7" s="25">
        <f>D7/B7*100</f>
        <v>89.36094170748983</v>
      </c>
      <c r="F7" s="25">
        <v>27699.089999999997</v>
      </c>
      <c r="G7" s="33">
        <v>634573.1</v>
      </c>
      <c r="H7" s="25">
        <f>C7/G7*100</f>
        <v>100.70363682292873</v>
      </c>
      <c r="I7" s="33">
        <f>D7-октябрь!D7</f>
        <v>61694.369999999995</v>
      </c>
    </row>
    <row r="8" spans="1:9" ht="12.75">
      <c r="A8" s="47" t="s">
        <v>4</v>
      </c>
      <c r="B8" s="25">
        <f>B9+B10</f>
        <v>393302.06</v>
      </c>
      <c r="C8" s="25">
        <f>C9+C10</f>
        <v>321290.57</v>
      </c>
      <c r="D8" s="25">
        <f>D9+D10</f>
        <v>340098.02999999997</v>
      </c>
      <c r="E8" s="25">
        <f aca="true" t="shared" si="0" ref="E8:E75">D8/B8*100</f>
        <v>86.47247614212851</v>
      </c>
      <c r="F8" s="25">
        <v>10645.39</v>
      </c>
      <c r="G8" s="25">
        <v>329154.60000000003</v>
      </c>
      <c r="H8" s="25">
        <f aca="true" t="shared" si="1" ref="H8:H75">C8/G8*100</f>
        <v>97.61084001256552</v>
      </c>
      <c r="I8" s="33">
        <f>D8-октябрь!D8</f>
        <v>35366.72999999998</v>
      </c>
    </row>
    <row r="9" spans="1:9" ht="25.5">
      <c r="A9" s="54" t="s">
        <v>5</v>
      </c>
      <c r="B9" s="27">
        <v>14616</v>
      </c>
      <c r="C9" s="27">
        <v>14616</v>
      </c>
      <c r="D9" s="27">
        <v>19210.31</v>
      </c>
      <c r="E9" s="27">
        <f t="shared" si="0"/>
        <v>131.43342911877397</v>
      </c>
      <c r="F9" s="25">
        <v>200.86</v>
      </c>
      <c r="G9" s="26">
        <v>8584.3</v>
      </c>
      <c r="H9" s="25">
        <f t="shared" si="1"/>
        <v>170.264319746514</v>
      </c>
      <c r="I9" s="33">
        <f>D9-октябрь!D9</f>
        <v>2084.6500000000015</v>
      </c>
    </row>
    <row r="10" spans="1:9" ht="12.75" customHeight="1">
      <c r="A10" s="54" t="s">
        <v>70</v>
      </c>
      <c r="B10" s="33">
        <f>SUM(B11:B17)</f>
        <v>378686.06</v>
      </c>
      <c r="C10" s="33">
        <f aca="true" t="shared" si="2" ref="C10:I10">SUM(C11:C17)</f>
        <v>306674.57</v>
      </c>
      <c r="D10" s="33">
        <f t="shared" si="2"/>
        <v>320887.72</v>
      </c>
      <c r="E10" s="33">
        <f t="shared" si="2"/>
        <v>487.03750125942327</v>
      </c>
      <c r="F10" s="33">
        <f t="shared" si="2"/>
        <v>10444.529999999999</v>
      </c>
      <c r="G10" s="33">
        <f t="shared" si="2"/>
        <v>320570.4</v>
      </c>
      <c r="H10" s="33">
        <f t="shared" si="2"/>
        <v>569.9495599682768</v>
      </c>
      <c r="I10" s="33">
        <f>D10-октябрь!D10</f>
        <v>33282.07999999996</v>
      </c>
    </row>
    <row r="11" spans="1:9" ht="51">
      <c r="A11" s="51" t="s">
        <v>74</v>
      </c>
      <c r="B11" s="27">
        <v>353301.66</v>
      </c>
      <c r="C11" s="27">
        <v>282441.46</v>
      </c>
      <c r="D11" s="27">
        <v>294914.55</v>
      </c>
      <c r="E11" s="27">
        <f t="shared" si="0"/>
        <v>83.47386479871054</v>
      </c>
      <c r="F11" s="27">
        <v>10058</v>
      </c>
      <c r="G11" s="27">
        <v>259142.6</v>
      </c>
      <c r="H11" s="25">
        <f t="shared" si="1"/>
        <v>108.99074872290393</v>
      </c>
      <c r="I11" s="33">
        <f>D11-октябрь!D11</f>
        <v>31895.349999999977</v>
      </c>
    </row>
    <row r="12" spans="1:9" ht="91.5" customHeight="1">
      <c r="A12" s="51" t="s">
        <v>75</v>
      </c>
      <c r="B12" s="27">
        <v>2895</v>
      </c>
      <c r="C12" s="27">
        <v>2741</v>
      </c>
      <c r="D12" s="27">
        <v>3348.2</v>
      </c>
      <c r="E12" s="27">
        <f t="shared" si="0"/>
        <v>115.6545768566494</v>
      </c>
      <c r="F12" s="27">
        <v>81.56</v>
      </c>
      <c r="G12" s="27">
        <v>1189.1</v>
      </c>
      <c r="H12" s="25">
        <f t="shared" si="1"/>
        <v>230.5104701034396</v>
      </c>
      <c r="I12" s="33">
        <f>D12-октябрь!D12</f>
        <v>-24.120000000000346</v>
      </c>
    </row>
    <row r="13" spans="1:9" ht="25.5">
      <c r="A13" s="51" t="s">
        <v>76</v>
      </c>
      <c r="B13" s="27">
        <v>5600.4</v>
      </c>
      <c r="C13" s="27">
        <v>5430</v>
      </c>
      <c r="D13" s="27">
        <v>5415.38</v>
      </c>
      <c r="E13" s="27">
        <f t="shared" si="0"/>
        <v>96.69630740661383</v>
      </c>
      <c r="F13" s="27">
        <v>117.15</v>
      </c>
      <c r="G13" s="27">
        <v>4846.8</v>
      </c>
      <c r="H13" s="25">
        <f t="shared" si="1"/>
        <v>112.03268135677146</v>
      </c>
      <c r="I13" s="33">
        <f>D13-октябрь!D13</f>
        <v>281.8900000000003</v>
      </c>
    </row>
    <row r="14" spans="1:9" ht="63.75">
      <c r="A14" s="51" t="s">
        <v>78</v>
      </c>
      <c r="B14" s="27">
        <v>3850</v>
      </c>
      <c r="C14" s="27">
        <v>3560</v>
      </c>
      <c r="D14" s="27">
        <v>3210.3</v>
      </c>
      <c r="E14" s="27">
        <f t="shared" si="0"/>
        <v>83.38441558441559</v>
      </c>
      <c r="F14" s="27">
        <v>187.82</v>
      </c>
      <c r="G14" s="27">
        <v>3465</v>
      </c>
      <c r="H14" s="25">
        <f t="shared" si="1"/>
        <v>102.74170274170274</v>
      </c>
      <c r="I14" s="33">
        <f>D14-октябрь!D14</f>
        <v>174.7800000000002</v>
      </c>
    </row>
    <row r="15" spans="1:9" ht="37.5" customHeight="1">
      <c r="A15" s="51" t="s">
        <v>145</v>
      </c>
      <c r="B15" s="27">
        <v>8639</v>
      </c>
      <c r="C15" s="27">
        <v>8139</v>
      </c>
      <c r="D15" s="27">
        <v>9315.29</v>
      </c>
      <c r="E15" s="27">
        <f t="shared" si="0"/>
        <v>107.82833661303393</v>
      </c>
      <c r="F15" s="27"/>
      <c r="G15" s="34">
        <v>51926.9</v>
      </c>
      <c r="H15" s="25">
        <f t="shared" si="1"/>
        <v>15.673957043459168</v>
      </c>
      <c r="I15" s="33">
        <f>D15-октябрь!D15</f>
        <v>786.5100000000002</v>
      </c>
    </row>
    <row r="16" spans="1:9" ht="53.25" customHeight="1">
      <c r="A16" s="51" t="s">
        <v>164</v>
      </c>
      <c r="B16" s="27">
        <v>3550</v>
      </c>
      <c r="C16" s="27">
        <v>3513.11</v>
      </c>
      <c r="D16" s="27">
        <v>3534.7</v>
      </c>
      <c r="E16" s="27">
        <v>0</v>
      </c>
      <c r="F16" s="27"/>
      <c r="G16" s="33">
        <v>0</v>
      </c>
      <c r="H16" s="25">
        <v>0</v>
      </c>
      <c r="I16" s="33">
        <f>D16-октябрь!D16</f>
        <v>58.4699999999998</v>
      </c>
    </row>
    <row r="17" spans="1:9" ht="53.25" customHeight="1">
      <c r="A17" s="51" t="s">
        <v>194</v>
      </c>
      <c r="B17" s="27">
        <v>850</v>
      </c>
      <c r="C17" s="27">
        <v>850</v>
      </c>
      <c r="D17" s="27">
        <v>1149.3</v>
      </c>
      <c r="E17" s="27">
        <v>0</v>
      </c>
      <c r="F17" s="27"/>
      <c r="G17" s="33">
        <v>0</v>
      </c>
      <c r="H17" s="25">
        <v>0</v>
      </c>
      <c r="I17" s="33">
        <f>D17-октябрь!D17</f>
        <v>109.20000000000005</v>
      </c>
    </row>
    <row r="18" spans="1:9" ht="39.75" customHeight="1">
      <c r="A18" s="53" t="s">
        <v>82</v>
      </c>
      <c r="B18" s="26">
        <f>SUM(B19:B22)</f>
        <v>59089.46000000001</v>
      </c>
      <c r="C18" s="26">
        <f>SUM(C19:C22)</f>
        <v>54490</v>
      </c>
      <c r="D18" s="26">
        <f>SUM(D19:D22)</f>
        <v>62116.1</v>
      </c>
      <c r="E18" s="25">
        <f t="shared" si="0"/>
        <v>105.1221317642774</v>
      </c>
      <c r="F18" s="25">
        <v>1853.18</v>
      </c>
      <c r="G18" s="26">
        <v>58869.799999999996</v>
      </c>
      <c r="H18" s="25">
        <f t="shared" si="1"/>
        <v>92.56019215285257</v>
      </c>
      <c r="I18" s="33">
        <f>D18-октябрь!D18</f>
        <v>5717.439999999995</v>
      </c>
    </row>
    <row r="19" spans="1:9" ht="37.5" customHeight="1">
      <c r="A19" s="37" t="s">
        <v>83</v>
      </c>
      <c r="B19" s="27">
        <v>27987.73</v>
      </c>
      <c r="C19" s="27">
        <v>25645</v>
      </c>
      <c r="D19" s="27">
        <v>32043.06</v>
      </c>
      <c r="E19" s="27">
        <f t="shared" si="0"/>
        <v>114.48967100940305</v>
      </c>
      <c r="F19" s="27">
        <v>844.23</v>
      </c>
      <c r="G19" s="34">
        <v>29415.1</v>
      </c>
      <c r="H19" s="25">
        <f t="shared" si="1"/>
        <v>87.18311343493649</v>
      </c>
      <c r="I19" s="33">
        <f>D19-октябрь!D19</f>
        <v>3044.170000000002</v>
      </c>
    </row>
    <row r="20" spans="1:9" ht="56.25" customHeight="1">
      <c r="A20" s="37" t="s">
        <v>84</v>
      </c>
      <c r="B20" s="27">
        <v>194.4</v>
      </c>
      <c r="C20" s="27">
        <v>165</v>
      </c>
      <c r="D20" s="27">
        <v>170.91</v>
      </c>
      <c r="E20" s="27">
        <f t="shared" si="0"/>
        <v>87.91666666666667</v>
      </c>
      <c r="F20" s="27">
        <v>5.74</v>
      </c>
      <c r="G20" s="34">
        <v>162.7</v>
      </c>
      <c r="H20" s="25">
        <f t="shared" si="1"/>
        <v>101.41364474492933</v>
      </c>
      <c r="I20" s="33">
        <f>D20-октябрь!D20</f>
        <v>17.349999999999994</v>
      </c>
    </row>
    <row r="21" spans="1:9" ht="55.5" customHeight="1">
      <c r="A21" s="37" t="s">
        <v>85</v>
      </c>
      <c r="B21" s="27">
        <v>34598.53</v>
      </c>
      <c r="C21" s="27">
        <v>32150</v>
      </c>
      <c r="D21" s="27">
        <v>33462.39</v>
      </c>
      <c r="E21" s="27">
        <f t="shared" si="0"/>
        <v>96.71621886825828</v>
      </c>
      <c r="F21" s="27">
        <v>1158.41</v>
      </c>
      <c r="G21" s="34">
        <v>32741.8</v>
      </c>
      <c r="H21" s="25">
        <f t="shared" si="1"/>
        <v>98.19252454049564</v>
      </c>
      <c r="I21" s="33">
        <f>D21-октябрь!D21</f>
        <v>2962.16</v>
      </c>
    </row>
    <row r="22" spans="1:9" ht="15.75" customHeight="1">
      <c r="A22" s="37" t="s">
        <v>86</v>
      </c>
      <c r="B22" s="27">
        <v>-3691.2</v>
      </c>
      <c r="C22" s="27">
        <v>-3470</v>
      </c>
      <c r="D22" s="27">
        <v>-3560.26</v>
      </c>
      <c r="E22" s="27">
        <f t="shared" si="0"/>
        <v>96.45264412657131</v>
      </c>
      <c r="F22" s="27">
        <v>-155.2</v>
      </c>
      <c r="G22" s="34">
        <v>-3449.9</v>
      </c>
      <c r="H22" s="25">
        <f t="shared" si="1"/>
        <v>100.58262558335025</v>
      </c>
      <c r="I22" s="33">
        <f>D22-октябрь!D22</f>
        <v>-306.24000000000024</v>
      </c>
    </row>
    <row r="23" spans="1:9" ht="12.75">
      <c r="A23" s="54" t="s">
        <v>7</v>
      </c>
      <c r="B23" s="26">
        <f>SUM(B24:B27)</f>
        <v>153106.30000000002</v>
      </c>
      <c r="C23" s="26">
        <f>SUM(C24:C27)</f>
        <v>142960</v>
      </c>
      <c r="D23" s="26">
        <f>SUM(D24:D27)</f>
        <v>135631.5</v>
      </c>
      <c r="E23" s="25">
        <f t="shared" si="0"/>
        <v>88.58649186872127</v>
      </c>
      <c r="F23" s="25">
        <v>7362.96</v>
      </c>
      <c r="G23" s="26">
        <v>129071.6</v>
      </c>
      <c r="H23" s="25">
        <f t="shared" si="1"/>
        <v>110.76022920611506</v>
      </c>
      <c r="I23" s="33">
        <f>D23-октябрь!D23</f>
        <v>3595.0200000000186</v>
      </c>
    </row>
    <row r="24" spans="1:9" ht="28.5" customHeight="1">
      <c r="A24" s="51" t="s">
        <v>146</v>
      </c>
      <c r="B24" s="27">
        <v>121030.1</v>
      </c>
      <c r="C24" s="27">
        <v>116545</v>
      </c>
      <c r="D24" s="27">
        <v>118078.61</v>
      </c>
      <c r="E24" s="27">
        <f t="shared" si="0"/>
        <v>97.56135870333082</v>
      </c>
      <c r="F24" s="27"/>
      <c r="G24" s="27">
        <v>106978.8</v>
      </c>
      <c r="H24" s="25">
        <f t="shared" si="1"/>
        <v>108.94214554659428</v>
      </c>
      <c r="I24" s="33">
        <f>D24-октябрь!D24</f>
        <v>3952.270000000004</v>
      </c>
    </row>
    <row r="25" spans="1:9" ht="19.5" customHeight="1">
      <c r="A25" s="51" t="s">
        <v>89</v>
      </c>
      <c r="B25" s="27">
        <v>0</v>
      </c>
      <c r="C25" s="27">
        <v>0</v>
      </c>
      <c r="D25" s="27">
        <v>-572.68</v>
      </c>
      <c r="E25" s="27" t="s">
        <v>148</v>
      </c>
      <c r="F25" s="27">
        <v>7198.75</v>
      </c>
      <c r="G25" s="27">
        <v>205.3</v>
      </c>
      <c r="H25" s="25">
        <f t="shared" si="1"/>
        <v>0</v>
      </c>
      <c r="I25" s="33">
        <f>D25-октябрь!D25</f>
        <v>20.280000000000086</v>
      </c>
    </row>
    <row r="26" spans="1:9" ht="15" customHeight="1">
      <c r="A26" s="51" t="s">
        <v>87</v>
      </c>
      <c r="B26" s="27">
        <v>715</v>
      </c>
      <c r="C26" s="27">
        <v>715</v>
      </c>
      <c r="D26" s="27">
        <v>432.02</v>
      </c>
      <c r="E26" s="27">
        <f t="shared" si="0"/>
        <v>60.422377622377624</v>
      </c>
      <c r="F26" s="27">
        <v>113.58</v>
      </c>
      <c r="G26" s="34">
        <v>297</v>
      </c>
      <c r="H26" s="25">
        <f t="shared" si="1"/>
        <v>240.74074074074073</v>
      </c>
      <c r="I26" s="33">
        <f>D26-октябрь!D26</f>
        <v>0</v>
      </c>
    </row>
    <row r="27" spans="1:9" ht="27" customHeight="1">
      <c r="A27" s="51" t="s">
        <v>88</v>
      </c>
      <c r="B27" s="27">
        <v>31361.2</v>
      </c>
      <c r="C27" s="27">
        <v>25700</v>
      </c>
      <c r="D27" s="27">
        <v>17693.55</v>
      </c>
      <c r="E27" s="27">
        <f t="shared" si="0"/>
        <v>56.41860005356938</v>
      </c>
      <c r="F27" s="27">
        <v>50.63</v>
      </c>
      <c r="G27" s="27">
        <v>21590.5</v>
      </c>
      <c r="H27" s="25">
        <f t="shared" si="1"/>
        <v>119.03383432528196</v>
      </c>
      <c r="I27" s="33">
        <f>D27-октябрь!D27</f>
        <v>-377.5300000000025</v>
      </c>
    </row>
    <row r="28" spans="1:9" ht="12.75">
      <c r="A28" s="54" t="s">
        <v>8</v>
      </c>
      <c r="B28" s="26">
        <f>SUM(B29:B30)</f>
        <v>42454.6</v>
      </c>
      <c r="C28" s="26">
        <f>SUM(C29:C30)</f>
        <v>34500</v>
      </c>
      <c r="D28" s="26">
        <f>SUM(D29:D30)</f>
        <v>37126.96</v>
      </c>
      <c r="E28" s="25">
        <f t="shared" si="0"/>
        <v>87.45097115506918</v>
      </c>
      <c r="F28" s="25">
        <v>2465.82</v>
      </c>
      <c r="G28" s="26">
        <v>34216.2</v>
      </c>
      <c r="H28" s="25">
        <f t="shared" si="1"/>
        <v>100.82943167271645</v>
      </c>
      <c r="I28" s="33">
        <f>D28-октябрь!D28</f>
        <v>11483.629999999997</v>
      </c>
    </row>
    <row r="29" spans="1:9" ht="12.75">
      <c r="A29" s="51" t="s">
        <v>106</v>
      </c>
      <c r="B29" s="27">
        <v>24668.5</v>
      </c>
      <c r="C29" s="27">
        <v>19250</v>
      </c>
      <c r="D29" s="27">
        <v>20868.11</v>
      </c>
      <c r="E29" s="27">
        <f t="shared" si="0"/>
        <v>84.59415854227052</v>
      </c>
      <c r="F29" s="27">
        <v>536.1</v>
      </c>
      <c r="G29" s="34">
        <v>18941.5</v>
      </c>
      <c r="H29" s="25">
        <f t="shared" si="1"/>
        <v>101.62869888868357</v>
      </c>
      <c r="I29" s="33">
        <f>D29-октябрь!D29</f>
        <v>8215.78</v>
      </c>
    </row>
    <row r="30" spans="1:9" ht="12.75">
      <c r="A30" s="51" t="s">
        <v>107</v>
      </c>
      <c r="B30" s="27">
        <v>17786.1</v>
      </c>
      <c r="C30" s="27">
        <v>15250</v>
      </c>
      <c r="D30" s="27">
        <v>16258.85</v>
      </c>
      <c r="E30" s="27">
        <f t="shared" si="0"/>
        <v>91.41323842776102</v>
      </c>
      <c r="F30" s="27">
        <v>1929.72</v>
      </c>
      <c r="G30" s="27">
        <v>15274.6</v>
      </c>
      <c r="H30" s="25">
        <f t="shared" si="1"/>
        <v>99.83894831943225</v>
      </c>
      <c r="I30" s="33">
        <f>D30-октябрь!D30</f>
        <v>3267.8500000000004</v>
      </c>
    </row>
    <row r="31" spans="1:9" ht="12.75">
      <c r="A31" s="47" t="s">
        <v>9</v>
      </c>
      <c r="B31" s="26">
        <f>SUM(B32:B34)</f>
        <v>15600</v>
      </c>
      <c r="C31" s="26">
        <f>SUM(C32:C34)</f>
        <v>14545</v>
      </c>
      <c r="D31" s="26">
        <f>SUM(D32:D34)</f>
        <v>17071.37</v>
      </c>
      <c r="E31" s="26">
        <f t="shared" si="0"/>
        <v>109.43185897435896</v>
      </c>
      <c r="F31" s="26">
        <v>793.07</v>
      </c>
      <c r="G31" s="26">
        <v>16408.9</v>
      </c>
      <c r="H31" s="25">
        <f t="shared" si="1"/>
        <v>88.6409204760831</v>
      </c>
      <c r="I31" s="33">
        <f>D31-октябрь!D31</f>
        <v>1722.2299999999996</v>
      </c>
    </row>
    <row r="32" spans="1:9" ht="25.5">
      <c r="A32" s="51" t="s">
        <v>10</v>
      </c>
      <c r="B32" s="27">
        <v>15550</v>
      </c>
      <c r="C32" s="27">
        <v>14500</v>
      </c>
      <c r="D32" s="27">
        <v>17046.37</v>
      </c>
      <c r="E32" s="27">
        <f t="shared" si="0"/>
        <v>109.6229581993569</v>
      </c>
      <c r="F32" s="27">
        <v>793.07</v>
      </c>
      <c r="G32" s="27">
        <v>16276.5</v>
      </c>
      <c r="H32" s="25">
        <f t="shared" si="1"/>
        <v>89.08549135256352</v>
      </c>
      <c r="I32" s="33">
        <f>D32-октябрь!D32</f>
        <v>1722.2299999999996</v>
      </c>
    </row>
    <row r="33" spans="1:9" ht="25.5">
      <c r="A33" s="51" t="s">
        <v>91</v>
      </c>
      <c r="B33" s="27">
        <v>0</v>
      </c>
      <c r="C33" s="27">
        <v>0</v>
      </c>
      <c r="D33" s="27">
        <v>0</v>
      </c>
      <c r="E33" s="27" t="s">
        <v>148</v>
      </c>
      <c r="F33" s="27">
        <v>0</v>
      </c>
      <c r="G33" s="107">
        <v>62.4</v>
      </c>
      <c r="H33" s="25">
        <f t="shared" si="1"/>
        <v>0</v>
      </c>
      <c r="I33" s="33">
        <f>D33-октябрь!D33</f>
        <v>0</v>
      </c>
    </row>
    <row r="34" spans="1:9" ht="25.5">
      <c r="A34" s="51" t="s">
        <v>90</v>
      </c>
      <c r="B34" s="27">
        <v>50</v>
      </c>
      <c r="C34" s="27">
        <v>45</v>
      </c>
      <c r="D34" s="27">
        <v>25</v>
      </c>
      <c r="E34" s="27">
        <f t="shared" si="0"/>
        <v>50</v>
      </c>
      <c r="F34" s="27">
        <v>0</v>
      </c>
      <c r="G34" s="107">
        <v>70</v>
      </c>
      <c r="H34" s="25">
        <f t="shared" si="1"/>
        <v>64.28571428571429</v>
      </c>
      <c r="I34" s="33">
        <f>D34-октябрь!D34</f>
        <v>0</v>
      </c>
    </row>
    <row r="35" spans="1:9" ht="25.5" hidden="1">
      <c r="A35" s="54" t="s">
        <v>11</v>
      </c>
      <c r="B35" s="27">
        <v>0</v>
      </c>
      <c r="C35" s="27">
        <v>0</v>
      </c>
      <c r="D35" s="27">
        <v>0.02</v>
      </c>
      <c r="E35" s="25" t="e">
        <f t="shared" si="0"/>
        <v>#DIV/0!</v>
      </c>
      <c r="F35" s="25">
        <v>0</v>
      </c>
      <c r="G35" s="27">
        <v>0</v>
      </c>
      <c r="H35" s="25" t="e">
        <f t="shared" si="1"/>
        <v>#DIV/0!</v>
      </c>
      <c r="I35" s="33">
        <f>D35-октябрь!D35</f>
        <v>0</v>
      </c>
    </row>
    <row r="36" spans="1:9" ht="25.5" hidden="1">
      <c r="A36" s="51" t="s">
        <v>116</v>
      </c>
      <c r="B36" s="33">
        <v>0</v>
      </c>
      <c r="C36" s="33">
        <v>0</v>
      </c>
      <c r="D36" s="33">
        <v>0.02</v>
      </c>
      <c r="E36" s="25" t="e">
        <f t="shared" si="0"/>
        <v>#DIV/0!</v>
      </c>
      <c r="F36" s="25">
        <v>0</v>
      </c>
      <c r="G36" s="33">
        <v>47222.1</v>
      </c>
      <c r="H36" s="25">
        <f t="shared" si="1"/>
        <v>0</v>
      </c>
      <c r="I36" s="33">
        <f>D36-октябрь!D36</f>
        <v>0</v>
      </c>
    </row>
    <row r="37" spans="1:9" ht="25.5" hidden="1">
      <c r="A37" s="51" t="s">
        <v>92</v>
      </c>
      <c r="B37" s="27">
        <v>0</v>
      </c>
      <c r="C37" s="27">
        <v>0</v>
      </c>
      <c r="D37" s="27">
        <v>0</v>
      </c>
      <c r="E37" s="25" t="e">
        <f t="shared" si="0"/>
        <v>#DIV/0!</v>
      </c>
      <c r="F37" s="25">
        <v>0</v>
      </c>
      <c r="G37" s="27"/>
      <c r="H37" s="25" t="e">
        <f t="shared" si="1"/>
        <v>#DIV/0!</v>
      </c>
      <c r="I37" s="33">
        <f>D37-октябрь!D37</f>
        <v>0</v>
      </c>
    </row>
    <row r="38" spans="1:9" ht="38.25">
      <c r="A38" s="54" t="s">
        <v>150</v>
      </c>
      <c r="B38" s="27">
        <v>0</v>
      </c>
      <c r="C38" s="27">
        <v>0</v>
      </c>
      <c r="D38" s="27">
        <v>-8.11</v>
      </c>
      <c r="E38" s="25">
        <v>0</v>
      </c>
      <c r="F38" s="25"/>
      <c r="G38" s="26">
        <v>0</v>
      </c>
      <c r="H38" s="25">
        <v>0</v>
      </c>
      <c r="I38" s="33">
        <f>D38-октябрь!D38</f>
        <v>0</v>
      </c>
    </row>
    <row r="39" spans="1:9" ht="39.75" customHeight="1">
      <c r="A39" s="54" t="s">
        <v>12</v>
      </c>
      <c r="B39" s="26">
        <f>SUM(B41:B47)</f>
        <v>57702.52</v>
      </c>
      <c r="C39" s="26">
        <f>SUM(C41:C47)</f>
        <v>53017.799999999996</v>
      </c>
      <c r="D39" s="26">
        <f>SUM(D41:D47)</f>
        <v>49038.41</v>
      </c>
      <c r="E39" s="26">
        <f t="shared" si="0"/>
        <v>84.98486721203858</v>
      </c>
      <c r="F39" s="26">
        <v>3247.05</v>
      </c>
      <c r="G39" s="26">
        <v>47222.1</v>
      </c>
      <c r="H39" s="25">
        <f t="shared" si="1"/>
        <v>112.27327882495695</v>
      </c>
      <c r="I39" s="33">
        <f>D39-октябрь!D39</f>
        <v>3089.510000000002</v>
      </c>
    </row>
    <row r="40" spans="1:9" ht="81.75" customHeight="1" hidden="1">
      <c r="A40" s="51" t="s">
        <v>114</v>
      </c>
      <c r="B40" s="27"/>
      <c r="C40" s="27"/>
      <c r="D40" s="27"/>
      <c r="E40" s="25" t="e">
        <f t="shared" si="0"/>
        <v>#DIV/0!</v>
      </c>
      <c r="F40" s="25"/>
      <c r="G40" s="27"/>
      <c r="H40" s="25" t="e">
        <f t="shared" si="1"/>
        <v>#DIV/0!</v>
      </c>
      <c r="I40" s="33">
        <f>D40-октябрь!D40</f>
        <v>0</v>
      </c>
    </row>
    <row r="41" spans="1:9" ht="76.5">
      <c r="A41" s="51" t="s">
        <v>117</v>
      </c>
      <c r="B41" s="27">
        <v>29271.18</v>
      </c>
      <c r="C41" s="27">
        <v>26831.92</v>
      </c>
      <c r="D41" s="27">
        <v>25086.15</v>
      </c>
      <c r="E41" s="27">
        <f t="shared" si="0"/>
        <v>85.70255794265897</v>
      </c>
      <c r="F41" s="27">
        <v>2393.3</v>
      </c>
      <c r="G41" s="34">
        <v>25271.8</v>
      </c>
      <c r="H41" s="25">
        <f t="shared" si="1"/>
        <v>106.17336319534026</v>
      </c>
      <c r="I41" s="33">
        <f>D41-октябрь!D41</f>
        <v>1575.6800000000003</v>
      </c>
    </row>
    <row r="42" spans="1:9" ht="76.5">
      <c r="A42" s="51" t="s">
        <v>125</v>
      </c>
      <c r="B42" s="27">
        <v>5434.31</v>
      </c>
      <c r="C42" s="27">
        <v>4981.45</v>
      </c>
      <c r="D42" s="27">
        <v>5232.61</v>
      </c>
      <c r="E42" s="27">
        <f t="shared" si="0"/>
        <v>96.2883972390239</v>
      </c>
      <c r="F42" s="27">
        <v>75.44</v>
      </c>
      <c r="G42" s="34">
        <v>5120</v>
      </c>
      <c r="H42" s="25">
        <f t="shared" si="1"/>
        <v>97.2939453125</v>
      </c>
      <c r="I42" s="33">
        <f>D42-октябрь!D42</f>
        <v>257.9399999999996</v>
      </c>
    </row>
    <row r="43" spans="1:9" ht="76.5">
      <c r="A43" s="51" t="s">
        <v>118</v>
      </c>
      <c r="B43" s="27">
        <v>515.73</v>
      </c>
      <c r="C43" s="27">
        <v>468.98</v>
      </c>
      <c r="D43" s="27">
        <v>693.18</v>
      </c>
      <c r="E43" s="27">
        <f t="shared" si="0"/>
        <v>134.40753882845672</v>
      </c>
      <c r="F43" s="27">
        <v>3.43</v>
      </c>
      <c r="G43" s="34">
        <v>437.4</v>
      </c>
      <c r="H43" s="25">
        <f t="shared" si="1"/>
        <v>107.2199359853681</v>
      </c>
      <c r="I43" s="33">
        <f>D43-октябрь!D43</f>
        <v>52.67999999999995</v>
      </c>
    </row>
    <row r="44" spans="1:9" ht="38.25">
      <c r="A44" s="51" t="s">
        <v>119</v>
      </c>
      <c r="B44" s="27">
        <v>17384.33</v>
      </c>
      <c r="C44" s="27">
        <v>15935.64</v>
      </c>
      <c r="D44" s="27">
        <v>13136.64</v>
      </c>
      <c r="E44" s="27">
        <f t="shared" si="0"/>
        <v>75.5659838486729</v>
      </c>
      <c r="F44" s="27">
        <v>538.73</v>
      </c>
      <c r="G44" s="34">
        <v>12848.3</v>
      </c>
      <c r="H44" s="25">
        <f t="shared" si="1"/>
        <v>124.02917117439662</v>
      </c>
      <c r="I44" s="33">
        <f>D44-октябрь!D44</f>
        <v>962.8299999999999</v>
      </c>
    </row>
    <row r="45" spans="1:9" ht="44.25" customHeight="1">
      <c r="A45" s="51" t="s">
        <v>147</v>
      </c>
      <c r="B45" s="27">
        <v>62.2</v>
      </c>
      <c r="C45" s="27">
        <v>57.02</v>
      </c>
      <c r="D45" s="27">
        <v>107.79</v>
      </c>
      <c r="E45" s="27">
        <f t="shared" si="0"/>
        <v>173.29581993569133</v>
      </c>
      <c r="F45" s="27"/>
      <c r="G45" s="34">
        <v>60.8</v>
      </c>
      <c r="H45" s="25" t="s">
        <v>148</v>
      </c>
      <c r="I45" s="33">
        <f>D45-октябрь!D45</f>
        <v>0</v>
      </c>
    </row>
    <row r="46" spans="1:9" ht="51">
      <c r="A46" s="51" t="s">
        <v>120</v>
      </c>
      <c r="B46" s="27">
        <v>1531</v>
      </c>
      <c r="C46" s="27">
        <v>1531</v>
      </c>
      <c r="D46" s="27">
        <v>1699.37</v>
      </c>
      <c r="E46" s="27">
        <f t="shared" si="0"/>
        <v>110.99738732854343</v>
      </c>
      <c r="F46" s="27">
        <v>0</v>
      </c>
      <c r="G46" s="34">
        <v>477.6</v>
      </c>
      <c r="H46" s="25" t="s">
        <v>148</v>
      </c>
      <c r="I46" s="33">
        <f>D46-октябрь!D46</f>
        <v>0</v>
      </c>
    </row>
    <row r="47" spans="1:9" ht="76.5">
      <c r="A47" s="51" t="s">
        <v>121</v>
      </c>
      <c r="B47" s="27">
        <v>3503.77</v>
      </c>
      <c r="C47" s="27">
        <v>3211.79</v>
      </c>
      <c r="D47" s="27">
        <v>3082.67</v>
      </c>
      <c r="E47" s="27">
        <f t="shared" si="0"/>
        <v>87.98151705163296</v>
      </c>
      <c r="F47" s="27">
        <v>236.15</v>
      </c>
      <c r="G47" s="27">
        <v>3006.2</v>
      </c>
      <c r="H47" s="25">
        <f t="shared" si="1"/>
        <v>106.83886634289136</v>
      </c>
      <c r="I47" s="33">
        <f>D47-октябрь!D47</f>
        <v>240.3800000000001</v>
      </c>
    </row>
    <row r="48" spans="1:9" ht="27" customHeight="1">
      <c r="A48" s="54" t="s">
        <v>13</v>
      </c>
      <c r="B48" s="33">
        <v>3612.72</v>
      </c>
      <c r="C48" s="33">
        <v>3515.18</v>
      </c>
      <c r="D48" s="33">
        <v>3698.03</v>
      </c>
      <c r="E48" s="33">
        <f t="shared" si="0"/>
        <v>102.36137868420472</v>
      </c>
      <c r="F48" s="33">
        <v>43.6</v>
      </c>
      <c r="G48" s="26">
        <v>635.7</v>
      </c>
      <c r="H48" s="33">
        <f t="shared" si="1"/>
        <v>552.9620890357086</v>
      </c>
      <c r="I48" s="33">
        <f>D48-октябрь!D48</f>
        <v>7.940000000000055</v>
      </c>
    </row>
    <row r="49" spans="1:9" ht="25.5">
      <c r="A49" s="54" t="s">
        <v>96</v>
      </c>
      <c r="B49" s="33">
        <v>4749.22</v>
      </c>
      <c r="C49" s="33">
        <v>4609.67</v>
      </c>
      <c r="D49" s="33">
        <v>4627.49</v>
      </c>
      <c r="E49" s="33">
        <f t="shared" si="0"/>
        <v>97.43684226041329</v>
      </c>
      <c r="F49" s="33">
        <v>561.58</v>
      </c>
      <c r="G49" s="26">
        <v>10255.3</v>
      </c>
      <c r="H49" s="33">
        <f t="shared" si="1"/>
        <v>44.94914824529756</v>
      </c>
      <c r="I49" s="33">
        <f>D49-октябрь!D49</f>
        <v>207.89999999999964</v>
      </c>
    </row>
    <row r="50" spans="1:9" ht="25.5">
      <c r="A50" s="54" t="s">
        <v>14</v>
      </c>
      <c r="B50" s="33">
        <v>4560</v>
      </c>
      <c r="C50" s="33">
        <v>4560</v>
      </c>
      <c r="D50" s="33">
        <v>5103.5</v>
      </c>
      <c r="E50" s="25">
        <f t="shared" si="0"/>
        <v>111.91885964912281</v>
      </c>
      <c r="F50" s="25">
        <v>585.5</v>
      </c>
      <c r="G50" s="33">
        <v>2896.4</v>
      </c>
      <c r="H50" s="25">
        <f t="shared" si="1"/>
        <v>157.43681811904432</v>
      </c>
      <c r="I50" s="33">
        <f>D50-октябрь!D50</f>
        <v>57.340000000000146</v>
      </c>
    </row>
    <row r="51" spans="1:9" ht="12.75">
      <c r="A51" s="51" t="s">
        <v>94</v>
      </c>
      <c r="B51" s="27">
        <v>0</v>
      </c>
      <c r="C51" s="27">
        <v>0</v>
      </c>
      <c r="D51" s="27">
        <v>0</v>
      </c>
      <c r="E51" s="25">
        <v>0</v>
      </c>
      <c r="F51" s="25">
        <v>0</v>
      </c>
      <c r="G51" s="27">
        <v>0</v>
      </c>
      <c r="H51" s="25" t="s">
        <v>148</v>
      </c>
      <c r="I51" s="33">
        <f>D51-октябрь!D51</f>
        <v>0</v>
      </c>
    </row>
    <row r="52" spans="1:9" ht="76.5">
      <c r="A52" s="51" t="s">
        <v>95</v>
      </c>
      <c r="B52" s="27">
        <v>0</v>
      </c>
      <c r="C52" s="27">
        <v>0</v>
      </c>
      <c r="D52" s="27">
        <v>0</v>
      </c>
      <c r="E52" s="25">
        <v>0</v>
      </c>
      <c r="F52" s="25">
        <v>37.14</v>
      </c>
      <c r="G52" s="83">
        <v>0</v>
      </c>
      <c r="H52" s="25" t="s">
        <v>148</v>
      </c>
      <c r="I52" s="33">
        <f>D52-октябрь!D52</f>
        <v>0</v>
      </c>
    </row>
    <row r="53" spans="1:9" ht="17.25" customHeight="1">
      <c r="A53" s="51" t="s">
        <v>93</v>
      </c>
      <c r="B53" s="27">
        <v>4560</v>
      </c>
      <c r="C53" s="27">
        <v>4560</v>
      </c>
      <c r="D53" s="27">
        <v>5103.5</v>
      </c>
      <c r="E53" s="27">
        <f t="shared" si="0"/>
        <v>111.91885964912281</v>
      </c>
      <c r="F53" s="27">
        <v>548.36</v>
      </c>
      <c r="G53" s="27">
        <v>2896.4</v>
      </c>
      <c r="H53" s="25">
        <f t="shared" si="1"/>
        <v>157.43681811904432</v>
      </c>
      <c r="I53" s="33">
        <f>D53-октябрь!D53</f>
        <v>57.340000000000146</v>
      </c>
    </row>
    <row r="54" spans="1:9" ht="12.75">
      <c r="A54" s="54" t="s">
        <v>15</v>
      </c>
      <c r="B54" s="33">
        <v>-755.1</v>
      </c>
      <c r="C54" s="33">
        <v>-908.19</v>
      </c>
      <c r="D54" s="33">
        <v>32.64</v>
      </c>
      <c r="E54" s="26">
        <f t="shared" si="0"/>
        <v>-4.322606277314263</v>
      </c>
      <c r="F54" s="26">
        <v>179.73</v>
      </c>
      <c r="G54" s="26">
        <v>5709.3</v>
      </c>
      <c r="H54" s="25">
        <f t="shared" si="1"/>
        <v>-15.90720403552099</v>
      </c>
      <c r="I54" s="33">
        <f>D54-октябрь!D54</f>
        <v>343.18</v>
      </c>
    </row>
    <row r="55" spans="1:9" ht="63.75" hidden="1">
      <c r="A55" s="51" t="s">
        <v>126</v>
      </c>
      <c r="B55" s="33">
        <v>223.07</v>
      </c>
      <c r="C55" s="33">
        <v>20</v>
      </c>
      <c r="D55" s="33"/>
      <c r="E55" s="26">
        <f t="shared" si="0"/>
        <v>0</v>
      </c>
      <c r="F55" s="26"/>
      <c r="G55" s="26"/>
      <c r="H55" s="25" t="e">
        <f t="shared" si="1"/>
        <v>#DIV/0!</v>
      </c>
      <c r="I55" s="33">
        <f>D55-октябрь!D55</f>
        <v>0</v>
      </c>
    </row>
    <row r="56" spans="1:9" ht="89.25" hidden="1">
      <c r="A56" s="51" t="s">
        <v>127</v>
      </c>
      <c r="B56" s="33">
        <v>223.07</v>
      </c>
      <c r="C56" s="33">
        <v>20</v>
      </c>
      <c r="D56" s="33"/>
      <c r="E56" s="26">
        <f t="shared" si="0"/>
        <v>0</v>
      </c>
      <c r="F56" s="26"/>
      <c r="G56" s="26"/>
      <c r="H56" s="25" t="e">
        <f t="shared" si="1"/>
        <v>#DIV/0!</v>
      </c>
      <c r="I56" s="33">
        <f>D56-октябрь!D56</f>
        <v>0</v>
      </c>
    </row>
    <row r="57" spans="1:9" ht="63.75" hidden="1">
      <c r="A57" s="51" t="s">
        <v>128</v>
      </c>
      <c r="B57" s="33">
        <v>223.07</v>
      </c>
      <c r="C57" s="33">
        <v>20</v>
      </c>
      <c r="D57" s="33"/>
      <c r="E57" s="26">
        <f t="shared" si="0"/>
        <v>0</v>
      </c>
      <c r="F57" s="26"/>
      <c r="G57" s="26"/>
      <c r="H57" s="25" t="e">
        <f t="shared" si="1"/>
        <v>#DIV/0!</v>
      </c>
      <c r="I57" s="33">
        <f>D57-октябрь!D57</f>
        <v>0</v>
      </c>
    </row>
    <row r="58" spans="1:9" ht="29.25" customHeight="1" hidden="1">
      <c r="A58" s="51" t="s">
        <v>129</v>
      </c>
      <c r="B58" s="33">
        <v>223.07</v>
      </c>
      <c r="C58" s="33">
        <v>20</v>
      </c>
      <c r="D58" s="33"/>
      <c r="E58" s="26">
        <f t="shared" si="0"/>
        <v>0</v>
      </c>
      <c r="F58" s="26"/>
      <c r="G58" s="26"/>
      <c r="H58" s="25" t="e">
        <f t="shared" si="1"/>
        <v>#DIV/0!</v>
      </c>
      <c r="I58" s="33">
        <f>D58-октябрь!D58</f>
        <v>0</v>
      </c>
    </row>
    <row r="59" spans="1:9" ht="38.25" customHeight="1" hidden="1">
      <c r="A59" s="51" t="s">
        <v>130</v>
      </c>
      <c r="B59" s="33">
        <v>223.07</v>
      </c>
      <c r="C59" s="33">
        <v>20</v>
      </c>
      <c r="D59" s="33"/>
      <c r="E59" s="26">
        <f t="shared" si="0"/>
        <v>0</v>
      </c>
      <c r="F59" s="26"/>
      <c r="G59" s="26"/>
      <c r="H59" s="25" t="e">
        <f t="shared" si="1"/>
        <v>#DIV/0!</v>
      </c>
      <c r="I59" s="33">
        <f>D59-октябрь!D59</f>
        <v>0</v>
      </c>
    </row>
    <row r="60" spans="1:9" ht="43.5" customHeight="1" hidden="1">
      <c r="A60" s="51" t="s">
        <v>131</v>
      </c>
      <c r="B60" s="33">
        <v>223.07</v>
      </c>
      <c r="C60" s="33">
        <v>20</v>
      </c>
      <c r="D60" s="33"/>
      <c r="E60" s="26">
        <f t="shared" si="0"/>
        <v>0</v>
      </c>
      <c r="F60" s="26"/>
      <c r="G60" s="26"/>
      <c r="H60" s="25" t="e">
        <f t="shared" si="1"/>
        <v>#DIV/0!</v>
      </c>
      <c r="I60" s="33">
        <f>D60-октябрь!D60</f>
        <v>0</v>
      </c>
    </row>
    <row r="61" spans="1:9" ht="40.5" customHeight="1" hidden="1">
      <c r="A61" s="51" t="s">
        <v>132</v>
      </c>
      <c r="B61" s="33">
        <v>223.07</v>
      </c>
      <c r="C61" s="33">
        <v>20</v>
      </c>
      <c r="D61" s="33"/>
      <c r="E61" s="26">
        <f t="shared" si="0"/>
        <v>0</v>
      </c>
      <c r="F61" s="26"/>
      <c r="G61" s="26"/>
      <c r="H61" s="25" t="e">
        <f t="shared" si="1"/>
        <v>#DIV/0!</v>
      </c>
      <c r="I61" s="33">
        <f>D61-октябрь!D61</f>
        <v>0</v>
      </c>
    </row>
    <row r="62" spans="1:9" ht="51" hidden="1">
      <c r="A62" s="51" t="s">
        <v>133</v>
      </c>
      <c r="B62" s="33">
        <v>223.07</v>
      </c>
      <c r="C62" s="33">
        <v>20</v>
      </c>
      <c r="D62" s="33"/>
      <c r="E62" s="26">
        <f t="shared" si="0"/>
        <v>0</v>
      </c>
      <c r="F62" s="26"/>
      <c r="G62" s="33"/>
      <c r="H62" s="25" t="e">
        <f t="shared" si="1"/>
        <v>#DIV/0!</v>
      </c>
      <c r="I62" s="33">
        <f>D62-октябрь!D62</f>
        <v>0</v>
      </c>
    </row>
    <row r="63" spans="1:9" ht="76.5" hidden="1">
      <c r="A63" s="51" t="s">
        <v>134</v>
      </c>
      <c r="B63" s="33">
        <v>223.07</v>
      </c>
      <c r="C63" s="33">
        <v>20</v>
      </c>
      <c r="D63" s="33"/>
      <c r="E63" s="26">
        <f t="shared" si="0"/>
        <v>0</v>
      </c>
      <c r="F63" s="26"/>
      <c r="G63" s="33"/>
      <c r="H63" s="25" t="e">
        <f t="shared" si="1"/>
        <v>#DIV/0!</v>
      </c>
      <c r="I63" s="33">
        <f>D63-октябрь!D63</f>
        <v>0</v>
      </c>
    </row>
    <row r="64" spans="1:9" ht="12.75" hidden="1">
      <c r="A64" s="51" t="s">
        <v>135</v>
      </c>
      <c r="B64" s="33">
        <v>223.07</v>
      </c>
      <c r="C64" s="33">
        <v>20</v>
      </c>
      <c r="D64" s="33"/>
      <c r="E64" s="26">
        <f t="shared" si="0"/>
        <v>0</v>
      </c>
      <c r="F64" s="26"/>
      <c r="G64" s="103"/>
      <c r="H64" s="25" t="e">
        <f t="shared" si="1"/>
        <v>#DIV/0!</v>
      </c>
      <c r="I64" s="33">
        <f>D64-октябрь!D64</f>
        <v>0</v>
      </c>
    </row>
    <row r="65" spans="1:9" ht="12.75">
      <c r="A65" s="47" t="s">
        <v>16</v>
      </c>
      <c r="B65" s="33">
        <v>6482.71</v>
      </c>
      <c r="C65" s="33">
        <v>6458.16</v>
      </c>
      <c r="D65" s="33">
        <v>6649.7</v>
      </c>
      <c r="E65" s="26">
        <f t="shared" si="0"/>
        <v>102.57592889393479</v>
      </c>
      <c r="F65" s="26">
        <v>-38.79</v>
      </c>
      <c r="G65" s="26">
        <v>133.2</v>
      </c>
      <c r="H65" s="25" t="s">
        <v>148</v>
      </c>
      <c r="I65" s="33">
        <f>D65-октябрь!D65</f>
        <v>103.44999999999982</v>
      </c>
    </row>
    <row r="66" spans="1:9" ht="12.75">
      <c r="A66" s="54" t="s">
        <v>17</v>
      </c>
      <c r="B66" s="26">
        <f>B65+B54+B50+B49+B48+B39+B31+B28+B23+B18+B8</f>
        <v>739904.49</v>
      </c>
      <c r="C66" s="26">
        <f>C65+C54+C50+C49+C48+C39+C31+C28+C23+C18+C8</f>
        <v>639038.19</v>
      </c>
      <c r="D66" s="26">
        <f>D65+D54+D50+D49+D48+D39+D31+D28+D23+D18+D8+D38</f>
        <v>661185.62</v>
      </c>
      <c r="E66" s="26">
        <f t="shared" si="0"/>
        <v>89.36094170748984</v>
      </c>
      <c r="F66" s="26">
        <v>27699.089999999997</v>
      </c>
      <c r="G66" s="26">
        <v>634573.1000000001</v>
      </c>
      <c r="H66" s="25">
        <f t="shared" si="1"/>
        <v>100.70363682292864</v>
      </c>
      <c r="I66" s="33">
        <f>D66-октябрь!D66</f>
        <v>61694.37000000011</v>
      </c>
    </row>
    <row r="67" spans="1:9" ht="12.75">
      <c r="A67" s="54" t="s">
        <v>18</v>
      </c>
      <c r="B67" s="26">
        <f>B68+B73+B75+B74</f>
        <v>3806382.1700000004</v>
      </c>
      <c r="C67" s="26">
        <f>C68+C73+C75+C74</f>
        <v>2999518.51</v>
      </c>
      <c r="D67" s="26">
        <f>D68+D73+D75+D74</f>
        <v>2999519.21</v>
      </c>
      <c r="E67" s="26">
        <f t="shared" si="0"/>
        <v>78.80236602726625</v>
      </c>
      <c r="F67" s="26">
        <v>43822.57000000001</v>
      </c>
      <c r="G67" s="27">
        <v>2820668.3000000003</v>
      </c>
      <c r="H67" s="25">
        <f t="shared" si="1"/>
        <v>106.34070337160877</v>
      </c>
      <c r="I67" s="33">
        <f>D67-октябрь!D67</f>
        <v>321551.2999999998</v>
      </c>
    </row>
    <row r="68" spans="1:9" ht="25.5">
      <c r="A68" s="54" t="s">
        <v>19</v>
      </c>
      <c r="B68" s="26">
        <f>SUM(B69:B72)</f>
        <v>3816509.3700000006</v>
      </c>
      <c r="C68" s="26">
        <f>SUM(C69:C72)</f>
        <v>3009645.71</v>
      </c>
      <c r="D68" s="26">
        <f>SUM(D69:D72)</f>
        <v>3009633.62</v>
      </c>
      <c r="E68" s="26">
        <f t="shared" si="0"/>
        <v>78.85827933916482</v>
      </c>
      <c r="F68" s="26">
        <v>46091.770000000004</v>
      </c>
      <c r="G68" s="27">
        <v>2839041.2</v>
      </c>
      <c r="H68" s="25">
        <f t="shared" si="1"/>
        <v>106.0092298061754</v>
      </c>
      <c r="I68" s="33">
        <f>D68-октябрь!D68</f>
        <v>321551.2999999998</v>
      </c>
    </row>
    <row r="69" spans="1:9" ht="12.75">
      <c r="A69" s="51" t="s">
        <v>108</v>
      </c>
      <c r="B69" s="27">
        <v>673774.4</v>
      </c>
      <c r="C69" s="27">
        <v>618239.4</v>
      </c>
      <c r="D69" s="27">
        <v>618239.4</v>
      </c>
      <c r="E69" s="25">
        <f t="shared" si="0"/>
        <v>91.75762688520075</v>
      </c>
      <c r="F69" s="25">
        <v>15902.8</v>
      </c>
      <c r="G69" s="27">
        <v>535696.6</v>
      </c>
      <c r="H69" s="25">
        <f t="shared" si="1"/>
        <v>115.40849801921462</v>
      </c>
      <c r="I69" s="33">
        <f>D69-октябрь!D69</f>
        <v>43242.59999999998</v>
      </c>
    </row>
    <row r="70" spans="1:9" ht="12.75" customHeight="1">
      <c r="A70" s="51" t="s">
        <v>109</v>
      </c>
      <c r="B70" s="27">
        <v>1744835.11</v>
      </c>
      <c r="C70" s="27">
        <v>1187010.55</v>
      </c>
      <c r="D70" s="27">
        <v>1186998.46</v>
      </c>
      <c r="E70" s="25">
        <f t="shared" si="0"/>
        <v>68.02926266196006</v>
      </c>
      <c r="F70" s="25">
        <v>0</v>
      </c>
      <c r="G70" s="27">
        <v>1230346.4</v>
      </c>
      <c r="H70" s="25">
        <f t="shared" si="1"/>
        <v>96.47775211924058</v>
      </c>
      <c r="I70" s="33">
        <f>D70-октябрь!D70</f>
        <v>173669.82999999996</v>
      </c>
    </row>
    <row r="71" spans="1:9" ht="18.75" customHeight="1">
      <c r="A71" s="51" t="s">
        <v>110</v>
      </c>
      <c r="B71" s="27">
        <v>1334732.12</v>
      </c>
      <c r="C71" s="27">
        <v>1153530.97</v>
      </c>
      <c r="D71" s="27">
        <v>1153530.97</v>
      </c>
      <c r="E71" s="25">
        <f t="shared" si="0"/>
        <v>86.42415603214822</v>
      </c>
      <c r="F71" s="25">
        <v>30188.97</v>
      </c>
      <c r="G71" s="34">
        <v>1011294</v>
      </c>
      <c r="H71" s="25">
        <f t="shared" si="1"/>
        <v>114.0648485999126</v>
      </c>
      <c r="I71" s="33">
        <f>D71-октябрь!D71</f>
        <v>99106.09999999986</v>
      </c>
    </row>
    <row r="72" spans="1:9" ht="12.75" customHeight="1">
      <c r="A72" s="2" t="s">
        <v>122</v>
      </c>
      <c r="B72" s="27">
        <v>63167.74</v>
      </c>
      <c r="C72" s="27">
        <v>50864.79</v>
      </c>
      <c r="D72" s="27">
        <v>50864.79</v>
      </c>
      <c r="E72" s="25">
        <f t="shared" si="0"/>
        <v>80.5233652494137</v>
      </c>
      <c r="F72" s="25">
        <v>0</v>
      </c>
      <c r="G72" s="83">
        <v>61704.2</v>
      </c>
      <c r="H72" s="25" t="s">
        <v>148</v>
      </c>
      <c r="I72" s="33">
        <f>D72-октябрь!D72</f>
        <v>5532.770000000004</v>
      </c>
    </row>
    <row r="73" spans="1:9" ht="12.75" customHeight="1">
      <c r="A73" s="54" t="s">
        <v>113</v>
      </c>
      <c r="B73" s="26">
        <v>0</v>
      </c>
      <c r="C73" s="26">
        <v>0</v>
      </c>
      <c r="D73" s="26">
        <v>0</v>
      </c>
      <c r="E73" s="26">
        <v>0</v>
      </c>
      <c r="F73" s="26">
        <v>0</v>
      </c>
      <c r="G73" s="34">
        <v>0</v>
      </c>
      <c r="H73" s="25" t="s">
        <v>148</v>
      </c>
      <c r="I73" s="33">
        <f>D73-октябрь!D73</f>
        <v>0</v>
      </c>
    </row>
    <row r="74" spans="1:9" ht="65.25" customHeight="1">
      <c r="A74" s="54" t="s">
        <v>199</v>
      </c>
      <c r="B74" s="26">
        <v>0</v>
      </c>
      <c r="C74" s="26">
        <v>0</v>
      </c>
      <c r="D74" s="26">
        <v>12.79</v>
      </c>
      <c r="E74" s="26">
        <v>0</v>
      </c>
      <c r="F74" s="26"/>
      <c r="G74" s="34">
        <v>0</v>
      </c>
      <c r="H74" s="25">
        <v>0</v>
      </c>
      <c r="I74" s="33">
        <v>0</v>
      </c>
    </row>
    <row r="75" spans="1:13" ht="25.5">
      <c r="A75" s="54" t="s">
        <v>21</v>
      </c>
      <c r="B75" s="27">
        <v>-10127.2</v>
      </c>
      <c r="C75" s="27">
        <v>-10127.2</v>
      </c>
      <c r="D75" s="27">
        <v>-10127.2</v>
      </c>
      <c r="E75" s="26">
        <f t="shared" si="0"/>
        <v>100</v>
      </c>
      <c r="F75" s="26">
        <v>-2269.2</v>
      </c>
      <c r="G75" s="26">
        <v>-18372.9</v>
      </c>
      <c r="H75" s="25">
        <f t="shared" si="1"/>
        <v>55.12031306979301</v>
      </c>
      <c r="I75" s="33">
        <f>D75-октябрь!D74</f>
        <v>-12.790000000000873</v>
      </c>
      <c r="K75" s="98"/>
      <c r="L75" s="98"/>
      <c r="M75" s="98"/>
    </row>
    <row r="76" spans="1:9" ht="12.75">
      <c r="A76" s="47" t="s">
        <v>20</v>
      </c>
      <c r="B76" s="26">
        <f>B66+B67</f>
        <v>4546286.66</v>
      </c>
      <c r="C76" s="26">
        <f>C66+C67</f>
        <v>3638556.6999999997</v>
      </c>
      <c r="D76" s="26">
        <f>D66+D67</f>
        <v>3660704.83</v>
      </c>
      <c r="E76" s="25">
        <f>D76/B76*100</f>
        <v>80.52076570992116</v>
      </c>
      <c r="F76" s="25">
        <v>71521.66</v>
      </c>
      <c r="G76" s="33">
        <v>3455241.4000000004</v>
      </c>
      <c r="H76" s="25">
        <f>C76/G76*100</f>
        <v>105.30542670622086</v>
      </c>
      <c r="I76" s="33">
        <f>D76-октябрь!D75</f>
        <v>383245.6699999999</v>
      </c>
    </row>
    <row r="77" spans="1:9" ht="12.75" hidden="1">
      <c r="A77" s="54"/>
      <c r="B77" s="61"/>
      <c r="C77" s="61"/>
      <c r="D77" s="61"/>
      <c r="E77" s="45"/>
      <c r="F77" s="45"/>
      <c r="G77" s="61"/>
      <c r="H77" s="45"/>
      <c r="I77" s="61"/>
    </row>
    <row r="78" spans="1:9" ht="12.75" hidden="1">
      <c r="A78" s="54"/>
      <c r="B78" s="56"/>
      <c r="C78" s="56"/>
      <c r="D78" s="56"/>
      <c r="E78" s="45"/>
      <c r="F78" s="45"/>
      <c r="G78" s="56"/>
      <c r="H78" s="45"/>
      <c r="I78" s="56"/>
    </row>
    <row r="79" spans="1:9" ht="12.75" hidden="1">
      <c r="A79" s="47"/>
      <c r="B79" s="57"/>
      <c r="C79" s="57"/>
      <c r="D79" s="57"/>
      <c r="E79" s="45"/>
      <c r="F79" s="45"/>
      <c r="G79" s="57"/>
      <c r="H79" s="45"/>
      <c r="I79" s="57"/>
    </row>
    <row r="80" spans="1:9" ht="12.75" hidden="1">
      <c r="A80" s="89"/>
      <c r="B80" s="33"/>
      <c r="C80" s="33"/>
      <c r="D80" s="33"/>
      <c r="E80" s="25"/>
      <c r="F80" s="25"/>
      <c r="G80" s="33"/>
      <c r="H80" s="25"/>
      <c r="I80" s="33"/>
    </row>
    <row r="81" spans="1:9" ht="12.75">
      <c r="A81" s="121" t="s">
        <v>22</v>
      </c>
      <c r="B81" s="121"/>
      <c r="C81" s="121"/>
      <c r="D81" s="121"/>
      <c r="E81" s="121"/>
      <c r="F81" s="121"/>
      <c r="G81" s="121"/>
      <c r="H81" s="121"/>
      <c r="I81" s="121"/>
    </row>
    <row r="82" spans="1:9" ht="12.75">
      <c r="A82" s="7" t="s">
        <v>23</v>
      </c>
      <c r="B82" s="33">
        <f>B83+B84+B85+B86+B87+B88+B89+B90</f>
        <v>656630.67</v>
      </c>
      <c r="C82" s="33">
        <f>C83+C84+C85+C86+C87+C88+C89+C90</f>
        <v>463694.09</v>
      </c>
      <c r="D82" s="33">
        <f>D83+D84+D85+D86+D87+D88+D89+D90</f>
        <v>456445.61</v>
      </c>
      <c r="E82" s="25">
        <f>$D:$D/$B:$B*100</f>
        <v>69.5132942845938</v>
      </c>
      <c r="F82" s="25">
        <f>$D:$D/$C:$C*100</f>
        <v>98.43679698397708</v>
      </c>
      <c r="G82" s="33">
        <v>242098.3</v>
      </c>
      <c r="H82" s="25">
        <f aca="true" t="shared" si="3" ref="H82:H88">$D:$D/$G:$G*100</f>
        <v>188.53730488813844</v>
      </c>
      <c r="I82" s="33">
        <f>D82-октябрь!D81</f>
        <v>94721.98999999999</v>
      </c>
    </row>
    <row r="83" spans="1:9" ht="14.25" customHeight="1">
      <c r="A83" s="8" t="s">
        <v>24</v>
      </c>
      <c r="B83" s="27">
        <v>3242.77</v>
      </c>
      <c r="C83" s="27">
        <v>3135.88</v>
      </c>
      <c r="D83" s="27">
        <v>2989.48</v>
      </c>
      <c r="E83" s="28">
        <f>$D:$D/$B:$B*100</f>
        <v>92.18908525735714</v>
      </c>
      <c r="F83" s="28">
        <v>0</v>
      </c>
      <c r="G83" s="104">
        <v>2430.1</v>
      </c>
      <c r="H83" s="28">
        <f t="shared" si="3"/>
        <v>123.01880581046048</v>
      </c>
      <c r="I83" s="33">
        <f>D83-октябрь!D82</f>
        <v>270.77</v>
      </c>
    </row>
    <row r="84" spans="1:9" ht="12.75">
      <c r="A84" s="8" t="s">
        <v>25</v>
      </c>
      <c r="B84" s="27">
        <v>7710.8</v>
      </c>
      <c r="C84" s="27">
        <v>6517.66</v>
      </c>
      <c r="D84" s="27">
        <v>5957.74</v>
      </c>
      <c r="E84" s="28">
        <f>$D:$D/$B:$B*100</f>
        <v>77.26487523992323</v>
      </c>
      <c r="F84" s="28">
        <f>$D:$D/$C:$C*100</f>
        <v>91.40918673266172</v>
      </c>
      <c r="G84" s="104">
        <v>6524.2</v>
      </c>
      <c r="H84" s="28">
        <f t="shared" si="3"/>
        <v>91.31755617546979</v>
      </c>
      <c r="I84" s="33">
        <f>D84-октябрь!D83</f>
        <v>340.4899999999998</v>
      </c>
    </row>
    <row r="85" spans="1:9" ht="25.5">
      <c r="A85" s="8" t="s">
        <v>26</v>
      </c>
      <c r="B85" s="27">
        <v>73776.09</v>
      </c>
      <c r="C85" s="27">
        <v>65632.49</v>
      </c>
      <c r="D85" s="27">
        <v>62267.32</v>
      </c>
      <c r="E85" s="28">
        <f>$D:$D/$B:$B*100</f>
        <v>84.40040669002654</v>
      </c>
      <c r="F85" s="28">
        <f>$D:$D/$C:$C*100</f>
        <v>94.87270709979157</v>
      </c>
      <c r="G85" s="104">
        <v>52445.9</v>
      </c>
      <c r="H85" s="28">
        <f t="shared" si="3"/>
        <v>118.72676415124918</v>
      </c>
      <c r="I85" s="33">
        <f>D85-октябрь!D84</f>
        <v>5003.080000000002</v>
      </c>
    </row>
    <row r="86" spans="1:9" ht="12.75">
      <c r="A86" s="8" t="s">
        <v>72</v>
      </c>
      <c r="B86" s="27">
        <v>12.8</v>
      </c>
      <c r="C86" s="27">
        <v>10.39</v>
      </c>
      <c r="D86" s="27">
        <v>10.39</v>
      </c>
      <c r="E86" s="28">
        <v>0</v>
      </c>
      <c r="F86" s="28">
        <v>0</v>
      </c>
      <c r="G86" s="104">
        <v>170</v>
      </c>
      <c r="H86" s="28">
        <f t="shared" si="3"/>
        <v>6.111764705882353</v>
      </c>
      <c r="I86" s="33">
        <f>D86-октябрь!D85</f>
        <v>6.550000000000001</v>
      </c>
    </row>
    <row r="87" spans="1:9" ht="25.5">
      <c r="A87" s="1" t="s">
        <v>27</v>
      </c>
      <c r="B87" s="27">
        <v>17896.98</v>
      </c>
      <c r="C87" s="27">
        <v>15693.41</v>
      </c>
      <c r="D87" s="27">
        <v>15319.03</v>
      </c>
      <c r="E87" s="28">
        <f>$D:$D/$B:$B*100</f>
        <v>85.59561445562325</v>
      </c>
      <c r="F87" s="28">
        <v>0</v>
      </c>
      <c r="G87" s="104">
        <v>14388.9</v>
      </c>
      <c r="H87" s="28">
        <f t="shared" si="3"/>
        <v>106.4642189465491</v>
      </c>
      <c r="I87" s="33">
        <f>D87-октябрь!D86</f>
        <v>1883.67</v>
      </c>
    </row>
    <row r="88" spans="1:9" ht="12.75" hidden="1">
      <c r="A88" s="8" t="s">
        <v>28</v>
      </c>
      <c r="B88" s="27">
        <v>0</v>
      </c>
      <c r="C88" s="27">
        <v>0</v>
      </c>
      <c r="D88" s="27">
        <v>0</v>
      </c>
      <c r="E88" s="28">
        <v>0</v>
      </c>
      <c r="F88" s="28">
        <v>0</v>
      </c>
      <c r="G88" s="104">
        <v>7709.7</v>
      </c>
      <c r="H88" s="28">
        <f t="shared" si="3"/>
        <v>0</v>
      </c>
      <c r="I88" s="33">
        <f>D88-октябрь!D87</f>
        <v>0</v>
      </c>
    </row>
    <row r="89" spans="1:9" ht="12.75">
      <c r="A89" s="8" t="s">
        <v>29</v>
      </c>
      <c r="B89" s="27">
        <v>2397.11</v>
      </c>
      <c r="C89" s="27">
        <v>0</v>
      </c>
      <c r="D89" s="27">
        <v>0</v>
      </c>
      <c r="E89" s="28">
        <f>$D:$D/$B:$B*100</f>
        <v>0</v>
      </c>
      <c r="F89" s="28">
        <v>0</v>
      </c>
      <c r="G89" s="104">
        <v>0</v>
      </c>
      <c r="H89" s="28">
        <v>0</v>
      </c>
      <c r="I89" s="33">
        <f>D89-октябрь!D88</f>
        <v>0</v>
      </c>
    </row>
    <row r="90" spans="1:9" ht="12.75">
      <c r="A90" s="1" t="s">
        <v>30</v>
      </c>
      <c r="B90" s="27">
        <v>551594.12</v>
      </c>
      <c r="C90" s="27">
        <v>372704.26</v>
      </c>
      <c r="D90" s="27">
        <v>369901.65</v>
      </c>
      <c r="E90" s="28">
        <f>$D:$D/$B:$B*100</f>
        <v>67.06047736694511</v>
      </c>
      <c r="F90" s="28">
        <f>$D:$D/$C:$C*100</f>
        <v>99.24803381640983</v>
      </c>
      <c r="G90" s="104">
        <v>158429.5</v>
      </c>
      <c r="H90" s="28">
        <f>$D:$D/$G:$G*100</f>
        <v>233.4802861840756</v>
      </c>
      <c r="I90" s="33">
        <f>D90-октябрь!D89</f>
        <v>87217.43000000005</v>
      </c>
    </row>
    <row r="91" spans="1:9" ht="12.75">
      <c r="A91" s="7" t="s">
        <v>31</v>
      </c>
      <c r="B91" s="26">
        <v>527.7</v>
      </c>
      <c r="C91" s="26">
        <v>456.65</v>
      </c>
      <c r="D91" s="26">
        <v>456.65</v>
      </c>
      <c r="E91" s="25">
        <f>$D:$D/$B:$B*100</f>
        <v>86.53591055523971</v>
      </c>
      <c r="F91" s="25">
        <f>$D:$D/$C:$C*100</f>
        <v>100</v>
      </c>
      <c r="G91" s="105">
        <v>382.7</v>
      </c>
      <c r="H91" s="25">
        <f>$D:$D/$G:$G*100</f>
        <v>119.32322968382545</v>
      </c>
      <c r="I91" s="33">
        <f>D91-октябрь!D90</f>
        <v>39.90999999999997</v>
      </c>
    </row>
    <row r="92" spans="1:9" ht="25.5">
      <c r="A92" s="9" t="s">
        <v>32</v>
      </c>
      <c r="B92" s="26">
        <v>36924.74</v>
      </c>
      <c r="C92" s="26">
        <v>31361.78</v>
      </c>
      <c r="D92" s="26">
        <v>31153.43</v>
      </c>
      <c r="E92" s="25">
        <f>$D:$D/$B:$B*100</f>
        <v>84.37007274797331</v>
      </c>
      <c r="F92" s="25">
        <f>$D:$D/$C:$C*100</f>
        <v>99.33565633073124</v>
      </c>
      <c r="G92" s="105">
        <v>5460.9</v>
      </c>
      <c r="H92" s="25">
        <f>$D:$D/$G:$G*100</f>
        <v>570.4816055961472</v>
      </c>
      <c r="I92" s="33">
        <f>D92-октябрь!D91</f>
        <v>1255.5699999999997</v>
      </c>
    </row>
    <row r="93" spans="1:9" ht="12.75">
      <c r="A93" s="7" t="s">
        <v>33</v>
      </c>
      <c r="B93" s="33">
        <f>B94+B95+B96+B97+B98</f>
        <v>638953.46</v>
      </c>
      <c r="C93" s="33">
        <f>C94+C95+C96+C97+C98</f>
        <v>576104.35</v>
      </c>
      <c r="D93" s="33">
        <f>D94+D95+D96+D97+D98</f>
        <v>562053.52</v>
      </c>
      <c r="E93" s="33">
        <f>E94+E95+E96+E97</f>
        <v>179.48549985259865</v>
      </c>
      <c r="F93" s="33">
        <f>F94+F95+F96+F97</f>
        <v>197.2450077789107</v>
      </c>
      <c r="G93" s="33">
        <v>516505.2</v>
      </c>
      <c r="H93" s="25">
        <f>$D:$D/$G:$G*100</f>
        <v>108.81855981314419</v>
      </c>
      <c r="I93" s="33">
        <f>D93-октябрь!D92</f>
        <v>184229.03000000003</v>
      </c>
    </row>
    <row r="94" spans="1:9" ht="12.75" customHeight="1" hidden="1">
      <c r="A94" s="10" t="s">
        <v>64</v>
      </c>
      <c r="B94" s="27">
        <v>0</v>
      </c>
      <c r="C94" s="27">
        <v>0</v>
      </c>
      <c r="D94" s="27">
        <v>0</v>
      </c>
      <c r="E94" s="28">
        <v>0</v>
      </c>
      <c r="F94" s="28">
        <v>0</v>
      </c>
      <c r="G94" s="34"/>
      <c r="H94" s="28" t="e">
        <f>$D:$D/$G:$G*100</f>
        <v>#DIV/0!</v>
      </c>
      <c r="I94" s="33">
        <f>D94-октябрь!D93</f>
        <v>0</v>
      </c>
    </row>
    <row r="95" spans="1:9" ht="12.75">
      <c r="A95" s="10" t="s">
        <v>67</v>
      </c>
      <c r="B95" s="27">
        <v>14226.7</v>
      </c>
      <c r="C95" s="27">
        <v>953.38</v>
      </c>
      <c r="D95" s="27">
        <v>953.38</v>
      </c>
      <c r="E95" s="28">
        <f>$D:$D/$B:$B*100</f>
        <v>6.70134324896146</v>
      </c>
      <c r="F95" s="28">
        <v>0</v>
      </c>
      <c r="G95" s="104">
        <v>0</v>
      </c>
      <c r="H95" s="28">
        <v>0</v>
      </c>
      <c r="I95" s="33">
        <f>D95-октябрь!D94</f>
        <v>0</v>
      </c>
    </row>
    <row r="96" spans="1:9" ht="12.75">
      <c r="A96" s="8" t="s">
        <v>34</v>
      </c>
      <c r="B96" s="27">
        <v>29101</v>
      </c>
      <c r="C96" s="27">
        <v>24145.23</v>
      </c>
      <c r="D96" s="27">
        <v>24145.23</v>
      </c>
      <c r="E96" s="28">
        <f>$D:$D/$B:$B*100</f>
        <v>82.97044775093639</v>
      </c>
      <c r="F96" s="28">
        <f>$D:$D/$C:$C*100</f>
        <v>100</v>
      </c>
      <c r="G96" s="104">
        <v>23213.8</v>
      </c>
      <c r="H96" s="28">
        <f aca="true" t="shared" si="4" ref="H96:H105">$D:$D/$G:$G*100</f>
        <v>104.01239779786162</v>
      </c>
      <c r="I96" s="33">
        <f>D96-октябрь!D95</f>
        <v>2462.1800000000003</v>
      </c>
    </row>
    <row r="97" spans="1:9" ht="12.75">
      <c r="A97" s="10" t="s">
        <v>77</v>
      </c>
      <c r="B97" s="27">
        <v>550911.31</v>
      </c>
      <c r="C97" s="27">
        <v>508811.6</v>
      </c>
      <c r="D97" s="27">
        <v>494793.88</v>
      </c>
      <c r="E97" s="28">
        <f>$D:$D/$B:$B*100</f>
        <v>89.8137088527008</v>
      </c>
      <c r="F97" s="28">
        <f>$D:$D/$C:$C*100</f>
        <v>97.2450077789107</v>
      </c>
      <c r="G97" s="104">
        <v>464671</v>
      </c>
      <c r="H97" s="28">
        <f t="shared" si="4"/>
        <v>106.48262534137056</v>
      </c>
      <c r="I97" s="33">
        <f>D97-октябрь!D96</f>
        <v>170968.8</v>
      </c>
    </row>
    <row r="98" spans="1:9" ht="12.75">
      <c r="A98" s="8" t="s">
        <v>35</v>
      </c>
      <c r="B98" s="27">
        <v>44714.45</v>
      </c>
      <c r="C98" s="27">
        <v>42194.14</v>
      </c>
      <c r="D98" s="27">
        <v>42161.03</v>
      </c>
      <c r="E98" s="28">
        <f>$D:$D/$B:$B*100</f>
        <v>94.2894970194199</v>
      </c>
      <c r="F98" s="28"/>
      <c r="G98" s="104">
        <v>28620.4</v>
      </c>
      <c r="H98" s="28">
        <f t="shared" si="4"/>
        <v>147.31111375103072</v>
      </c>
      <c r="I98" s="33">
        <f>D98-октябрь!D97</f>
        <v>10798.05</v>
      </c>
    </row>
    <row r="99" spans="1:9" ht="12.75">
      <c r="A99" s="7" t="s">
        <v>36</v>
      </c>
      <c r="B99" s="33">
        <f>B101+B102+B103+B100</f>
        <v>499062.88</v>
      </c>
      <c r="C99" s="26">
        <f>C101+C102+C103+C100</f>
        <v>310202.62</v>
      </c>
      <c r="D99" s="33">
        <f>D101+D102+D103+D100</f>
        <v>292443.74</v>
      </c>
      <c r="E99" s="33">
        <f>E102+E103+E100</f>
        <v>123.45714639081622</v>
      </c>
      <c r="F99" s="25">
        <f>$D:$D/$C:$C*100</f>
        <v>94.27507091977495</v>
      </c>
      <c r="G99" s="33">
        <v>494744.3</v>
      </c>
      <c r="H99" s="25">
        <f t="shared" si="4"/>
        <v>59.1100776704249</v>
      </c>
      <c r="I99" s="33">
        <f>D99-октябрь!D98</f>
        <v>19287.059999999998</v>
      </c>
    </row>
    <row r="100" spans="1:9" ht="12.75">
      <c r="A100" s="8" t="s">
        <v>37</v>
      </c>
      <c r="B100" s="27">
        <v>86957.68</v>
      </c>
      <c r="C100" s="27">
        <v>52320.45</v>
      </c>
      <c r="D100" s="27">
        <v>50247.52</v>
      </c>
      <c r="E100" s="43">
        <v>0</v>
      </c>
      <c r="F100" s="28">
        <v>0</v>
      </c>
      <c r="G100" s="104">
        <v>33851.7</v>
      </c>
      <c r="H100" s="28">
        <f t="shared" si="4"/>
        <v>148.43425884076723</v>
      </c>
      <c r="I100" s="33">
        <f>D100-октябрь!D99</f>
        <v>3392.3099999999977</v>
      </c>
    </row>
    <row r="101" spans="1:9" ht="12.75">
      <c r="A101" s="8" t="s">
        <v>38</v>
      </c>
      <c r="B101" s="27">
        <v>5219.51</v>
      </c>
      <c r="C101" s="27">
        <v>534.47</v>
      </c>
      <c r="D101" s="27">
        <v>534.47</v>
      </c>
      <c r="E101" s="28">
        <f aca="true" t="shared" si="5" ref="E101:E106">$D:$D/$B:$B*100</f>
        <v>10.239850100871537</v>
      </c>
      <c r="F101" s="28">
        <v>0</v>
      </c>
      <c r="G101" s="104">
        <v>10183.3</v>
      </c>
      <c r="H101" s="28">
        <f t="shared" si="4"/>
        <v>5.248495085090296</v>
      </c>
      <c r="I101" s="33">
        <f>D101-октябрь!D100</f>
        <v>0</v>
      </c>
    </row>
    <row r="102" spans="1:9" ht="12.75">
      <c r="A102" s="8" t="s">
        <v>39</v>
      </c>
      <c r="B102" s="27">
        <v>298605</v>
      </c>
      <c r="C102" s="27">
        <v>184591.35</v>
      </c>
      <c r="D102" s="27">
        <v>169415.12</v>
      </c>
      <c r="E102" s="28">
        <f t="shared" si="5"/>
        <v>56.735526866596345</v>
      </c>
      <c r="F102" s="28">
        <f>$D:$D/$C:$C*100</f>
        <v>91.77847174312339</v>
      </c>
      <c r="G102" s="104">
        <v>310433.3</v>
      </c>
      <c r="H102" s="28">
        <f t="shared" si="4"/>
        <v>54.573758678595375</v>
      </c>
      <c r="I102" s="33">
        <f>D102-октябрь!D101</f>
        <v>14016.130000000005</v>
      </c>
    </row>
    <row r="103" spans="1:9" ht="12.75">
      <c r="A103" s="8" t="s">
        <v>40</v>
      </c>
      <c r="B103" s="27">
        <v>108280.69</v>
      </c>
      <c r="C103" s="27">
        <v>72756.35</v>
      </c>
      <c r="D103" s="27">
        <v>72246.63</v>
      </c>
      <c r="E103" s="28">
        <f t="shared" si="5"/>
        <v>66.72161952421988</v>
      </c>
      <c r="F103" s="28">
        <f>$D:$D/$C:$C*100</f>
        <v>99.29941510259928</v>
      </c>
      <c r="G103" s="104">
        <v>140276</v>
      </c>
      <c r="H103" s="28">
        <f t="shared" si="4"/>
        <v>51.50320083264421</v>
      </c>
      <c r="I103" s="33">
        <f>D103-октябрь!D102</f>
        <v>1878.62000000001</v>
      </c>
    </row>
    <row r="104" spans="1:9" ht="12.75">
      <c r="A104" s="11" t="s">
        <v>115</v>
      </c>
      <c r="B104" s="33">
        <f>B105+B106</f>
        <v>16942.14</v>
      </c>
      <c r="C104" s="33">
        <f>C105+C106</f>
        <v>2564.28</v>
      </c>
      <c r="D104" s="33">
        <f>D105+D106</f>
        <v>2564.28</v>
      </c>
      <c r="E104" s="25">
        <f t="shared" si="5"/>
        <v>15.135514167631717</v>
      </c>
      <c r="F104" s="25"/>
      <c r="G104" s="33">
        <v>1373.3</v>
      </c>
      <c r="H104" s="25">
        <f t="shared" si="4"/>
        <v>186.72394961042747</v>
      </c>
      <c r="I104" s="33">
        <f>D104-октябрь!D103</f>
        <v>474.2800000000002</v>
      </c>
    </row>
    <row r="105" spans="1:9" ht="25.5">
      <c r="A105" s="39" t="s">
        <v>143</v>
      </c>
      <c r="B105" s="27">
        <v>2866.94</v>
      </c>
      <c r="C105" s="27">
        <v>2543.38</v>
      </c>
      <c r="D105" s="27">
        <v>2543.38</v>
      </c>
      <c r="E105" s="28">
        <f t="shared" si="5"/>
        <v>88.71409935331748</v>
      </c>
      <c r="F105" s="28"/>
      <c r="G105" s="104">
        <v>1330.7</v>
      </c>
      <c r="H105" s="28">
        <f t="shared" si="4"/>
        <v>191.13098369279328</v>
      </c>
      <c r="I105" s="33">
        <f>D105-октябрь!D104</f>
        <v>453.3800000000001</v>
      </c>
    </row>
    <row r="106" spans="1:9" ht="25.5">
      <c r="A106" s="8" t="s">
        <v>165</v>
      </c>
      <c r="B106" s="27">
        <v>14075.2</v>
      </c>
      <c r="C106" s="27">
        <v>20.9</v>
      </c>
      <c r="D106" s="27">
        <v>20.9</v>
      </c>
      <c r="E106" s="28">
        <f t="shared" si="5"/>
        <v>0.14848812095032396</v>
      </c>
      <c r="F106" s="28"/>
      <c r="G106" s="104">
        <v>42.6</v>
      </c>
      <c r="H106" s="28">
        <v>0</v>
      </c>
      <c r="I106" s="33">
        <f>D106-октябрь!D105</f>
        <v>20.9</v>
      </c>
    </row>
    <row r="107" spans="1:9" ht="12.75">
      <c r="A107" s="11" t="s">
        <v>41</v>
      </c>
      <c r="B107" s="33">
        <f>B108+B109+B111+B112+B113+B110</f>
        <v>1981234.96</v>
      </c>
      <c r="C107" s="33">
        <f>C108+C109+C111+C112+C113+C110</f>
        <v>1692828.56</v>
      </c>
      <c r="D107" s="33">
        <f>D108+D109+D111+D112+D113+D110</f>
        <v>1692157.7600000002</v>
      </c>
      <c r="E107" s="33">
        <f>E108+E109+E112+E113+E111</f>
        <v>397.2499433010166</v>
      </c>
      <c r="F107" s="33">
        <f>F108+F109+F112+F113+F111</f>
        <v>491.82717746043477</v>
      </c>
      <c r="G107" s="33">
        <v>1510535.9000000001</v>
      </c>
      <c r="H107" s="25">
        <f aca="true" t="shared" si="6" ref="H107:H131">$D:$D/$G:$G*100</f>
        <v>112.02367053970714</v>
      </c>
      <c r="I107" s="33">
        <f>D107-октябрь!D106</f>
        <v>159368.38000000012</v>
      </c>
    </row>
    <row r="108" spans="1:9" ht="12.75">
      <c r="A108" s="8" t="s">
        <v>42</v>
      </c>
      <c r="B108" s="27">
        <v>753880.3</v>
      </c>
      <c r="C108" s="27">
        <v>650145.41</v>
      </c>
      <c r="D108" s="27">
        <v>650145.41</v>
      </c>
      <c r="E108" s="28">
        <f aca="true" t="shared" si="7" ref="E108:E118">$D:$D/$B:$B*100</f>
        <v>86.23987256332339</v>
      </c>
      <c r="F108" s="28">
        <f aca="true" t="shared" si="8" ref="F108:F116">$D:$D/$C:$C*100</f>
        <v>100</v>
      </c>
      <c r="G108" s="104">
        <v>572325</v>
      </c>
      <c r="H108" s="28">
        <f t="shared" si="6"/>
        <v>113.5972410780588</v>
      </c>
      <c r="I108" s="33">
        <f>D108-октябрь!D107</f>
        <v>57169.65000000002</v>
      </c>
    </row>
    <row r="109" spans="1:9" ht="12.75">
      <c r="A109" s="8" t="s">
        <v>43</v>
      </c>
      <c r="B109" s="27">
        <v>815405.33</v>
      </c>
      <c r="C109" s="27">
        <v>692567.03</v>
      </c>
      <c r="D109" s="27">
        <v>692557.02</v>
      </c>
      <c r="E109" s="28">
        <f t="shared" si="7"/>
        <v>84.93408057560772</v>
      </c>
      <c r="F109" s="28">
        <f t="shared" si="8"/>
        <v>99.99855465253667</v>
      </c>
      <c r="G109" s="104">
        <v>612132.7</v>
      </c>
      <c r="H109" s="28">
        <f t="shared" si="6"/>
        <v>113.13837996238398</v>
      </c>
      <c r="I109" s="33">
        <f>D109-октябрь!D108</f>
        <v>71294.59999999998</v>
      </c>
    </row>
    <row r="110" spans="1:9" ht="12.75">
      <c r="A110" s="21" t="s">
        <v>105</v>
      </c>
      <c r="B110" s="27">
        <v>155399.25</v>
      </c>
      <c r="C110" s="27">
        <v>129950.95</v>
      </c>
      <c r="D110" s="27">
        <v>129950.95</v>
      </c>
      <c r="E110" s="28">
        <f t="shared" si="7"/>
        <v>83.62392353888451</v>
      </c>
      <c r="F110" s="28">
        <f t="shared" si="8"/>
        <v>100</v>
      </c>
      <c r="G110" s="104">
        <v>130861.5</v>
      </c>
      <c r="H110" s="28">
        <f t="shared" si="6"/>
        <v>99.30418801557371</v>
      </c>
      <c r="I110" s="33">
        <f>D110-октябрь!D109</f>
        <v>12087.669999999998</v>
      </c>
    </row>
    <row r="111" spans="1:9" ht="25.5">
      <c r="A111" s="8" t="s">
        <v>123</v>
      </c>
      <c r="B111" s="27">
        <v>307.6</v>
      </c>
      <c r="C111" s="27">
        <v>182.24</v>
      </c>
      <c r="D111" s="27">
        <v>167.94</v>
      </c>
      <c r="E111" s="28">
        <f t="shared" si="7"/>
        <v>54.59687906371911</v>
      </c>
      <c r="F111" s="28">
        <f t="shared" si="8"/>
        <v>92.15320456540825</v>
      </c>
      <c r="G111" s="104">
        <v>343.1</v>
      </c>
      <c r="H111" s="28">
        <f t="shared" si="6"/>
        <v>48.94782862139317</v>
      </c>
      <c r="I111" s="33">
        <f>D111-октябрь!D110</f>
        <v>18</v>
      </c>
    </row>
    <row r="112" spans="1:9" ht="12.75">
      <c r="A112" s="8" t="s">
        <v>44</v>
      </c>
      <c r="B112" s="27">
        <v>24217.65</v>
      </c>
      <c r="C112" s="27">
        <v>20806.61</v>
      </c>
      <c r="D112" s="27">
        <v>20806.61</v>
      </c>
      <c r="E112" s="28">
        <f t="shared" si="7"/>
        <v>85.91506607783992</v>
      </c>
      <c r="F112" s="28">
        <f t="shared" si="8"/>
        <v>100</v>
      </c>
      <c r="G112" s="104">
        <v>43017.8</v>
      </c>
      <c r="H112" s="28">
        <f t="shared" si="6"/>
        <v>48.3674432444244</v>
      </c>
      <c r="I112" s="33">
        <f>D112-октябрь!D111</f>
        <v>2049.3899999999994</v>
      </c>
    </row>
    <row r="113" spans="1:9" ht="12.75">
      <c r="A113" s="8" t="s">
        <v>45</v>
      </c>
      <c r="B113" s="27">
        <v>232024.83</v>
      </c>
      <c r="C113" s="27">
        <v>199176.32</v>
      </c>
      <c r="D113" s="27">
        <v>198529.83</v>
      </c>
      <c r="E113" s="28">
        <f t="shared" si="7"/>
        <v>85.56404502052646</v>
      </c>
      <c r="F113" s="28">
        <f t="shared" si="8"/>
        <v>99.67541824248985</v>
      </c>
      <c r="G113" s="104">
        <v>151855.8</v>
      </c>
      <c r="H113" s="28">
        <f t="shared" si="6"/>
        <v>130.7357572117759</v>
      </c>
      <c r="I113" s="33">
        <f>D113-октябрь!D112</f>
        <v>16749.069999999978</v>
      </c>
    </row>
    <row r="114" spans="1:9" ht="25.5">
      <c r="A114" s="11" t="s">
        <v>46</v>
      </c>
      <c r="B114" s="33">
        <f>B115+B116</f>
        <v>373119.81</v>
      </c>
      <c r="C114" s="33">
        <f>C115+C116</f>
        <v>282464.13</v>
      </c>
      <c r="D114" s="33">
        <f>D115+D116</f>
        <v>282329.25</v>
      </c>
      <c r="E114" s="25">
        <f t="shared" si="7"/>
        <v>75.6671831495626</v>
      </c>
      <c r="F114" s="25">
        <f t="shared" si="8"/>
        <v>99.95224880412249</v>
      </c>
      <c r="G114" s="33">
        <v>184116.8</v>
      </c>
      <c r="H114" s="25">
        <f t="shared" si="6"/>
        <v>153.34247064906626</v>
      </c>
      <c r="I114" s="33">
        <f>D114-октябрь!D113</f>
        <v>31769.690000000002</v>
      </c>
    </row>
    <row r="115" spans="1:9" ht="12.75">
      <c r="A115" s="8" t="s">
        <v>47</v>
      </c>
      <c r="B115" s="27">
        <v>242054.61</v>
      </c>
      <c r="C115" s="27">
        <v>199803.97</v>
      </c>
      <c r="D115" s="27">
        <v>199781.02</v>
      </c>
      <c r="E115" s="28">
        <f t="shared" si="7"/>
        <v>82.53551543595886</v>
      </c>
      <c r="F115" s="28">
        <f t="shared" si="8"/>
        <v>99.98851374174397</v>
      </c>
      <c r="G115" s="104">
        <v>156675.4</v>
      </c>
      <c r="H115" s="28">
        <f t="shared" si="6"/>
        <v>127.51269184568861</v>
      </c>
      <c r="I115" s="33">
        <f>D115-октябрь!D114</f>
        <v>14629.179999999993</v>
      </c>
    </row>
    <row r="116" spans="1:9" ht="25.5">
      <c r="A116" s="8" t="s">
        <v>48</v>
      </c>
      <c r="B116" s="27">
        <v>131065.2</v>
      </c>
      <c r="C116" s="27">
        <v>82660.16</v>
      </c>
      <c r="D116" s="27">
        <v>82548.23</v>
      </c>
      <c r="E116" s="28">
        <f t="shared" si="7"/>
        <v>62.98256898093469</v>
      </c>
      <c r="F116" s="28">
        <f t="shared" si="8"/>
        <v>99.86459014838587</v>
      </c>
      <c r="G116" s="104">
        <v>27441.4</v>
      </c>
      <c r="H116" s="28">
        <f t="shared" si="6"/>
        <v>300.8163942072926</v>
      </c>
      <c r="I116" s="33">
        <f>D116-октябрь!D115</f>
        <v>17140.509999999995</v>
      </c>
    </row>
    <row r="117" spans="1:9" ht="12.75">
      <c r="A117" s="11" t="s">
        <v>97</v>
      </c>
      <c r="B117" s="33">
        <f>B118</f>
        <v>163.45</v>
      </c>
      <c r="C117" s="33">
        <f>C118</f>
        <v>163.5</v>
      </c>
      <c r="D117" s="33">
        <f>D118</f>
        <v>163.5</v>
      </c>
      <c r="E117" s="25">
        <f t="shared" si="7"/>
        <v>100.0305903946161</v>
      </c>
      <c r="F117" s="25">
        <v>0</v>
      </c>
      <c r="G117" s="33">
        <v>195.8</v>
      </c>
      <c r="H117" s="25">
        <f t="shared" si="6"/>
        <v>83.50357507660878</v>
      </c>
      <c r="I117" s="33">
        <f>D117-октябрь!D116</f>
        <v>0</v>
      </c>
    </row>
    <row r="118" spans="1:9" ht="12.75">
      <c r="A118" s="8" t="s">
        <v>98</v>
      </c>
      <c r="B118" s="27">
        <v>163.45</v>
      </c>
      <c r="C118" s="27">
        <v>163.5</v>
      </c>
      <c r="D118" s="27">
        <v>163.5</v>
      </c>
      <c r="E118" s="28">
        <f t="shared" si="7"/>
        <v>100.0305903946161</v>
      </c>
      <c r="F118" s="28">
        <v>0</v>
      </c>
      <c r="G118" s="34">
        <v>195.8</v>
      </c>
      <c r="H118" s="28">
        <f t="shared" si="6"/>
        <v>83.50357507660878</v>
      </c>
      <c r="I118" s="33">
        <f>D118-октябрь!D117</f>
        <v>0</v>
      </c>
    </row>
    <row r="119" spans="1:9" ht="12.75">
      <c r="A119" s="11" t="s">
        <v>49</v>
      </c>
      <c r="B119" s="33">
        <f>B120+B122+B123+B124</f>
        <v>147053.26</v>
      </c>
      <c r="C119" s="33">
        <f>C120+C122+C123+C124</f>
        <v>119833.36</v>
      </c>
      <c r="D119" s="33">
        <f>D120+D122+D123+D124</f>
        <v>119592.82000000002</v>
      </c>
      <c r="E119" s="33">
        <f>E120+E121+E122+E123</f>
        <v>243.76694814020883</v>
      </c>
      <c r="F119" s="33" t="e">
        <f>F120+F121+F122+F123</f>
        <v>#DIV/0!</v>
      </c>
      <c r="G119" s="33">
        <v>125360.2</v>
      </c>
      <c r="H119" s="25">
        <f t="shared" si="6"/>
        <v>95.39935322375047</v>
      </c>
      <c r="I119" s="33">
        <f>D119-октябрь!D118</f>
        <v>9758.710000000021</v>
      </c>
    </row>
    <row r="120" spans="1:9" ht="12.75">
      <c r="A120" s="8" t="s">
        <v>50</v>
      </c>
      <c r="B120" s="27">
        <v>3025.38</v>
      </c>
      <c r="C120" s="27">
        <v>2428.42</v>
      </c>
      <c r="D120" s="27">
        <v>2426.35</v>
      </c>
      <c r="E120" s="28">
        <f>$D:$D/$B:$B*100</f>
        <v>80.19984266439256</v>
      </c>
      <c r="F120" s="28">
        <v>0</v>
      </c>
      <c r="G120" s="104">
        <v>2085.6</v>
      </c>
      <c r="H120" s="28">
        <f t="shared" si="6"/>
        <v>116.33822401227465</v>
      </c>
      <c r="I120" s="33">
        <f>D120-октябрь!D119</f>
        <v>358.52999999999975</v>
      </c>
    </row>
    <row r="121" spans="1:9" ht="12.75" hidden="1">
      <c r="A121" s="8" t="s">
        <v>51</v>
      </c>
      <c r="B121" s="22">
        <v>0</v>
      </c>
      <c r="C121" s="22">
        <v>0</v>
      </c>
      <c r="D121" s="22">
        <v>0</v>
      </c>
      <c r="E121" s="28">
        <v>0</v>
      </c>
      <c r="F121" s="28" t="e">
        <f>$D:$D/$C:$C*100</f>
        <v>#DIV/0!</v>
      </c>
      <c r="G121" s="104">
        <v>0</v>
      </c>
      <c r="H121" s="28" t="e">
        <f t="shared" si="6"/>
        <v>#DIV/0!</v>
      </c>
      <c r="I121" s="33">
        <f>D121-октябрь!D120</f>
        <v>0</v>
      </c>
    </row>
    <row r="122" spans="1:9" ht="12.75">
      <c r="A122" s="8" t="s">
        <v>52</v>
      </c>
      <c r="B122" s="27">
        <v>87978.89</v>
      </c>
      <c r="C122" s="27">
        <v>70528.22</v>
      </c>
      <c r="D122" s="27">
        <v>70528.22</v>
      </c>
      <c r="E122" s="28">
        <f>$D:$D/$B:$B*100</f>
        <v>80.1649350202077</v>
      </c>
      <c r="F122" s="28">
        <v>0</v>
      </c>
      <c r="G122" s="104">
        <v>62571.5</v>
      </c>
      <c r="H122" s="28">
        <f t="shared" si="6"/>
        <v>112.71620466186683</v>
      </c>
      <c r="I122" s="33">
        <f>D122-октябрь!D121</f>
        <v>8984.010000000002</v>
      </c>
    </row>
    <row r="123" spans="1:9" ht="12.75">
      <c r="A123" s="8" t="s">
        <v>53</v>
      </c>
      <c r="B123" s="27">
        <v>53445</v>
      </c>
      <c r="C123" s="27">
        <v>44612.95</v>
      </c>
      <c r="D123" s="27">
        <v>44574.29</v>
      </c>
      <c r="E123" s="28">
        <f>$D:$D/$B:$B*100</f>
        <v>83.40217045560857</v>
      </c>
      <c r="F123" s="28">
        <f>$D:$D/$C:$C*100</f>
        <v>99.9133435471091</v>
      </c>
      <c r="G123" s="104">
        <v>58792.3</v>
      </c>
      <c r="H123" s="28">
        <f t="shared" si="6"/>
        <v>75.8165440032113</v>
      </c>
      <c r="I123" s="33">
        <f>D123-октябрь!D122</f>
        <v>269.15000000000146</v>
      </c>
    </row>
    <row r="124" spans="1:9" ht="12.75">
      <c r="A124" s="8" t="s">
        <v>54</v>
      </c>
      <c r="B124" s="27">
        <v>2603.99</v>
      </c>
      <c r="C124" s="27">
        <v>2263.77</v>
      </c>
      <c r="D124" s="27">
        <v>2063.96</v>
      </c>
      <c r="E124" s="28">
        <f>$D:$D/$B:$B*100</f>
        <v>79.26144109616398</v>
      </c>
      <c r="F124" s="28"/>
      <c r="G124" s="104">
        <v>1910.8</v>
      </c>
      <c r="H124" s="28">
        <f t="shared" si="6"/>
        <v>108.01549089386644</v>
      </c>
      <c r="I124" s="33">
        <f>D124-октябрь!D123</f>
        <v>147.01999999999998</v>
      </c>
    </row>
    <row r="125" spans="1:9" ht="12.75">
      <c r="A125" s="11" t="s">
        <v>61</v>
      </c>
      <c r="B125" s="26">
        <f>B126+B127+B128</f>
        <v>360801.42</v>
      </c>
      <c r="C125" s="26">
        <f>C126+C127+C128</f>
        <v>204071.72</v>
      </c>
      <c r="D125" s="26">
        <f>D126+D127+D128</f>
        <v>203904.18</v>
      </c>
      <c r="E125" s="25">
        <f>$D:$D/$B:$B*100</f>
        <v>56.51423988298051</v>
      </c>
      <c r="F125" s="25">
        <f>$D:$D/$C:$C*100</f>
        <v>99.9179014123074</v>
      </c>
      <c r="G125" s="26">
        <v>184403.69999999998</v>
      </c>
      <c r="H125" s="25">
        <f t="shared" si="6"/>
        <v>110.57488542800388</v>
      </c>
      <c r="I125" s="33">
        <f>D125-октябрь!D124</f>
        <v>13939.029999999999</v>
      </c>
    </row>
    <row r="126" spans="1:9" ht="12.75">
      <c r="A126" s="39" t="s">
        <v>62</v>
      </c>
      <c r="B126" s="27">
        <v>294701.59</v>
      </c>
      <c r="C126" s="27">
        <v>148945.28</v>
      </c>
      <c r="D126" s="27">
        <v>148843.88</v>
      </c>
      <c r="E126" s="28">
        <f>$D:$D/$B:$B*100</f>
        <v>50.5066430079322</v>
      </c>
      <c r="F126" s="28">
        <f>$D:$D/$C:$C*100</f>
        <v>99.93192130693903</v>
      </c>
      <c r="G126" s="104">
        <v>80058.4</v>
      </c>
      <c r="H126" s="28">
        <f t="shared" si="6"/>
        <v>185.91912903580388</v>
      </c>
      <c r="I126" s="33">
        <f>D126-октябрь!D125</f>
        <v>7000.640000000014</v>
      </c>
    </row>
    <row r="127" spans="1:9" ht="24.75" customHeight="1">
      <c r="A127" s="12" t="s">
        <v>63</v>
      </c>
      <c r="B127" s="27">
        <v>61380.86</v>
      </c>
      <c r="C127" s="27">
        <v>50880.67</v>
      </c>
      <c r="D127" s="27">
        <v>50880.67</v>
      </c>
      <c r="E127" s="28">
        <v>0</v>
      </c>
      <c r="F127" s="28">
        <v>0</v>
      </c>
      <c r="G127" s="104">
        <v>100779.4</v>
      </c>
      <c r="H127" s="28">
        <f t="shared" si="6"/>
        <v>50.48717297384188</v>
      </c>
      <c r="I127" s="33">
        <f>D127-октябрь!D126</f>
        <v>6541.580000000002</v>
      </c>
    </row>
    <row r="128" spans="1:9" ht="25.5">
      <c r="A128" s="12" t="s">
        <v>73</v>
      </c>
      <c r="B128" s="27">
        <v>4718.97</v>
      </c>
      <c r="C128" s="27">
        <v>4245.77</v>
      </c>
      <c r="D128" s="27">
        <v>4179.63</v>
      </c>
      <c r="E128" s="28">
        <f>$D:$D/$B:$B*100</f>
        <v>88.57081100324858</v>
      </c>
      <c r="F128" s="28">
        <f>$D:$D/$C:$C*100</f>
        <v>98.4422142508897</v>
      </c>
      <c r="G128" s="104">
        <v>3565.9</v>
      </c>
      <c r="H128" s="28">
        <f t="shared" si="6"/>
        <v>117.21108275610645</v>
      </c>
      <c r="I128" s="33">
        <f>D128-октябрь!D127</f>
        <v>396.80999999999995</v>
      </c>
    </row>
    <row r="129" spans="1:9" s="99" customFormat="1" ht="26.25" customHeight="1">
      <c r="A129" s="13" t="s">
        <v>80</v>
      </c>
      <c r="B129" s="26">
        <v>5.8</v>
      </c>
      <c r="C129" s="26">
        <v>5.75</v>
      </c>
      <c r="D129" s="26">
        <v>5.75</v>
      </c>
      <c r="E129" s="25">
        <f>$D:$D/$B:$B*100</f>
        <v>99.13793103448276</v>
      </c>
      <c r="F129" s="25">
        <v>0</v>
      </c>
      <c r="G129" s="104">
        <v>2.01</v>
      </c>
      <c r="H129" s="28">
        <f t="shared" si="6"/>
        <v>286.06965174129357</v>
      </c>
      <c r="I129" s="33">
        <f>D129-октябрь!D128</f>
        <v>0</v>
      </c>
    </row>
    <row r="130" spans="1:9" ht="13.5" customHeight="1">
      <c r="A130" s="12" t="s">
        <v>81</v>
      </c>
      <c r="B130" s="27">
        <v>5.8</v>
      </c>
      <c r="C130" s="27">
        <v>5.75</v>
      </c>
      <c r="D130" s="27">
        <v>5.75</v>
      </c>
      <c r="E130" s="28">
        <f>$D:$D/$B:$B*100</f>
        <v>99.13793103448276</v>
      </c>
      <c r="F130" s="28">
        <v>0</v>
      </c>
      <c r="G130" s="34">
        <v>2.01</v>
      </c>
      <c r="H130" s="28">
        <f t="shared" si="6"/>
        <v>286.06965174129357</v>
      </c>
      <c r="I130" s="33">
        <f>D130-октябрь!D129</f>
        <v>0</v>
      </c>
    </row>
    <row r="131" spans="1:9" ht="15.75" customHeight="1">
      <c r="A131" s="14" t="s">
        <v>55</v>
      </c>
      <c r="B131" s="33">
        <f>B82+B91+B92+B93+B99+B107+B114+B117+B119+B125+B129+B104</f>
        <v>4711420.289999999</v>
      </c>
      <c r="C131" s="33">
        <f>C82+C91+C92+C93+C99+C107+C114+C117+C119+C125+C129+C104</f>
        <v>3683750.79</v>
      </c>
      <c r="D131" s="33">
        <f>D82+D91+D92+D93+D99+D107+D114+D117+D119+D125+D129+D104</f>
        <v>3643270.4899999998</v>
      </c>
      <c r="E131" s="25">
        <f>$D:$D/$B:$B*100</f>
        <v>77.32849683847671</v>
      </c>
      <c r="F131" s="25">
        <f>$D:$D/$C:$C*100</f>
        <v>98.90111187461733</v>
      </c>
      <c r="G131" s="33">
        <v>3265179.1099999994</v>
      </c>
      <c r="H131" s="25">
        <f t="shared" si="6"/>
        <v>111.57949892678323</v>
      </c>
      <c r="I131" s="33">
        <f>D131-октябрь!D130</f>
        <v>514843.6499999999</v>
      </c>
    </row>
    <row r="132" spans="1:9" ht="26.25" customHeight="1">
      <c r="A132" s="79" t="s">
        <v>56</v>
      </c>
      <c r="B132" s="80">
        <f>B76-B131</f>
        <v>-165133.62999999896</v>
      </c>
      <c r="C132" s="80">
        <f>C76-C131</f>
        <v>-45194.09000000032</v>
      </c>
      <c r="D132" s="80">
        <f>D76-D131</f>
        <v>17434.340000000317</v>
      </c>
      <c r="E132" s="80"/>
      <c r="F132" s="80"/>
      <c r="G132" s="33">
        <v>190062.29000000097</v>
      </c>
      <c r="H132" s="80"/>
      <c r="I132" s="33">
        <f>D132-октябрь!D131</f>
        <v>-131597.97999999998</v>
      </c>
    </row>
    <row r="133" spans="1:9" ht="24" customHeight="1">
      <c r="A133" s="1" t="s">
        <v>57</v>
      </c>
      <c r="B133" s="27" t="s">
        <v>159</v>
      </c>
      <c r="C133" s="27"/>
      <c r="D133" s="27" t="s">
        <v>196</v>
      </c>
      <c r="E133" s="27"/>
      <c r="F133" s="27"/>
      <c r="G133" s="27" t="s">
        <v>198</v>
      </c>
      <c r="H133" s="26"/>
      <c r="I133" s="33"/>
    </row>
    <row r="134" spans="1:9" ht="12.75">
      <c r="A134" s="3" t="s">
        <v>58</v>
      </c>
      <c r="B134" s="77">
        <f>B136+B137</f>
        <v>99223.6</v>
      </c>
      <c r="C134" s="77">
        <f>C136+C137</f>
        <v>0</v>
      </c>
      <c r="D134" s="77">
        <f>D136+D137</f>
        <v>121658</v>
      </c>
      <c r="E134" s="77"/>
      <c r="F134" s="77">
        <f>F136+F137</f>
        <v>0</v>
      </c>
      <c r="G134" s="106">
        <v>220883.98</v>
      </c>
      <c r="H134" s="77"/>
      <c r="I134" s="33">
        <f>D134-октябрь!D133</f>
        <v>-131597.8</v>
      </c>
    </row>
    <row r="135" spans="1:9" ht="12" customHeight="1">
      <c r="A135" s="1" t="s">
        <v>6</v>
      </c>
      <c r="B135" s="78"/>
      <c r="C135" s="27"/>
      <c r="D135" s="27"/>
      <c r="E135" s="27"/>
      <c r="F135" s="27"/>
      <c r="G135" s="27"/>
      <c r="H135" s="35"/>
      <c r="I135" s="33"/>
    </row>
    <row r="136" spans="1:9" ht="12.75">
      <c r="A136" s="5" t="s">
        <v>59</v>
      </c>
      <c r="B136" s="78">
        <v>53815.7</v>
      </c>
      <c r="C136" s="27"/>
      <c r="D136" s="27">
        <v>58317.7</v>
      </c>
      <c r="E136" s="27"/>
      <c r="F136" s="27"/>
      <c r="G136" s="27">
        <v>138694.87</v>
      </c>
      <c r="H136" s="35"/>
      <c r="I136" s="33">
        <f>D136-октябрь!D135</f>
        <v>-128535.8</v>
      </c>
    </row>
    <row r="137" spans="1:9" ht="12.75">
      <c r="A137" s="1" t="s">
        <v>60</v>
      </c>
      <c r="B137" s="78">
        <f>99223.6-B136</f>
        <v>45407.90000000001</v>
      </c>
      <c r="C137" s="27"/>
      <c r="D137" s="27">
        <v>63340.3</v>
      </c>
      <c r="E137" s="27"/>
      <c r="F137" s="27"/>
      <c r="G137" s="27">
        <v>82189.11000000002</v>
      </c>
      <c r="H137" s="35"/>
      <c r="I137" s="33">
        <f>D137-октябрь!D136</f>
        <v>-3061.9999999999854</v>
      </c>
    </row>
    <row r="138" spans="1:9" ht="12.75">
      <c r="A138" s="3" t="s">
        <v>99</v>
      </c>
      <c r="B138" s="26">
        <f>B139-B140</f>
        <v>22950</v>
      </c>
      <c r="C138" s="26">
        <f>C139-C140</f>
        <v>5000</v>
      </c>
      <c r="D138" s="26">
        <f>D139-D140</f>
        <v>5000</v>
      </c>
      <c r="E138" s="26"/>
      <c r="F138" s="26">
        <f>F139-F140</f>
        <v>0</v>
      </c>
      <c r="G138" s="26">
        <v>-12050</v>
      </c>
      <c r="H138" s="26"/>
      <c r="I138" s="33">
        <f>D138-октябрь!D137</f>
        <v>0</v>
      </c>
    </row>
    <row r="139" spans="1:9" ht="12.75">
      <c r="A139" s="2" t="s">
        <v>100</v>
      </c>
      <c r="B139" s="27">
        <v>35000</v>
      </c>
      <c r="C139" s="27">
        <v>40000</v>
      </c>
      <c r="D139" s="27">
        <v>40000</v>
      </c>
      <c r="E139" s="36"/>
      <c r="F139" s="36"/>
      <c r="G139" s="36">
        <v>0</v>
      </c>
      <c r="H139" s="37"/>
      <c r="I139" s="33">
        <f>D139-октябрь!D138</f>
        <v>0</v>
      </c>
    </row>
    <row r="140" spans="1:9" ht="12.75">
      <c r="A140" s="2" t="s">
        <v>101</v>
      </c>
      <c r="B140" s="27">
        <v>12050</v>
      </c>
      <c r="C140" s="27">
        <v>35000</v>
      </c>
      <c r="D140" s="27">
        <v>35000</v>
      </c>
      <c r="E140" s="36"/>
      <c r="F140" s="36"/>
      <c r="G140" s="27">
        <v>12050</v>
      </c>
      <c r="H140" s="37"/>
      <c r="I140" s="33">
        <f>D140-октябрь!D139</f>
        <v>0</v>
      </c>
    </row>
    <row r="141" spans="1:9" ht="12.75">
      <c r="A141" s="15"/>
      <c r="B141" s="24"/>
      <c r="C141" s="24"/>
      <c r="D141" s="24"/>
      <c r="E141" s="24"/>
      <c r="F141" s="24"/>
      <c r="G141" s="84"/>
      <c r="H141" s="24"/>
      <c r="I141" s="24"/>
    </row>
    <row r="143" ht="12" customHeight="1">
      <c r="A143" s="21" t="s">
        <v>79</v>
      </c>
    </row>
    <row r="144" ht="12.75" customHeight="1" hidden="1"/>
    <row r="146" spans="1:9" ht="25.5">
      <c r="A146" s="15" t="s">
        <v>103</v>
      </c>
      <c r="B146" s="24"/>
      <c r="C146" s="24"/>
      <c r="D146" s="24" t="s">
        <v>137</v>
      </c>
      <c r="E146" s="24"/>
      <c r="F146" s="24"/>
      <c r="G146" s="84"/>
      <c r="H146" s="24"/>
      <c r="I146" s="24"/>
    </row>
  </sheetData>
  <sheetProtection/>
  <mergeCells count="5">
    <mergeCell ref="A1:H1"/>
    <mergeCell ref="A2:H2"/>
    <mergeCell ref="A3:H3"/>
    <mergeCell ref="A6:I6"/>
    <mergeCell ref="A81:I81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1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8" sqref="D138"/>
    </sheetView>
  </sheetViews>
  <sheetFormatPr defaultColWidth="9.00390625" defaultRowHeight="12.75"/>
  <cols>
    <col min="1" max="1" width="44.875" style="21" customWidth="1"/>
    <col min="2" max="2" width="11.25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customWidth="1"/>
    <col min="7" max="7" width="12.00390625" style="22" customWidth="1"/>
    <col min="8" max="8" width="11.875" style="22" customWidth="1"/>
    <col min="9" max="9" width="10.00390625" style="22" customWidth="1"/>
    <col min="10" max="16384" width="9.125" style="21" customWidth="1"/>
  </cols>
  <sheetData>
    <row r="1" spans="1:9" ht="15">
      <c r="A1" s="111" t="s">
        <v>102</v>
      </c>
      <c r="B1" s="111"/>
      <c r="C1" s="111"/>
      <c r="D1" s="111"/>
      <c r="E1" s="111"/>
      <c r="F1" s="111"/>
      <c r="G1" s="111"/>
      <c r="H1" s="111"/>
      <c r="I1" s="29"/>
    </row>
    <row r="2" spans="1:9" ht="15">
      <c r="A2" s="112" t="s">
        <v>141</v>
      </c>
      <c r="B2" s="112"/>
      <c r="C2" s="112"/>
      <c r="D2" s="112"/>
      <c r="E2" s="112"/>
      <c r="F2" s="112"/>
      <c r="G2" s="112"/>
      <c r="H2" s="112"/>
      <c r="I2" s="30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1"/>
    </row>
    <row r="4" spans="1:9" ht="45" customHeight="1">
      <c r="A4" s="4" t="s">
        <v>1</v>
      </c>
      <c r="B4" s="17" t="s">
        <v>2</v>
      </c>
      <c r="C4" s="17" t="s">
        <v>142</v>
      </c>
      <c r="D4" s="17" t="s">
        <v>68</v>
      </c>
      <c r="E4" s="17" t="s">
        <v>66</v>
      </c>
      <c r="F4" s="17" t="s">
        <v>69</v>
      </c>
      <c r="G4" s="17" t="s">
        <v>136</v>
      </c>
      <c r="H4" s="18" t="s">
        <v>65</v>
      </c>
      <c r="I4" s="17" t="s">
        <v>71</v>
      </c>
    </row>
    <row r="5" spans="1:9" ht="13.5" thickBot="1">
      <c r="A5" s="6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20">
        <v>8</v>
      </c>
      <c r="I5" s="32">
        <v>9</v>
      </c>
    </row>
    <row r="6" spans="1:9" ht="12.75">
      <c r="A6" s="122" t="s">
        <v>3</v>
      </c>
      <c r="B6" s="123"/>
      <c r="C6" s="123"/>
      <c r="D6" s="123"/>
      <c r="E6" s="123"/>
      <c r="F6" s="123"/>
      <c r="G6" s="123"/>
      <c r="H6" s="123"/>
      <c r="I6" s="124"/>
    </row>
    <row r="7" spans="1:9" ht="12.75">
      <c r="A7" s="46" t="s">
        <v>104</v>
      </c>
      <c r="B7" s="57">
        <f>B8+B15+B20+B24+B27+B31+B34+B43+B44+B45+B49</f>
        <v>442159.12999999995</v>
      </c>
      <c r="C7" s="57">
        <f>C8+C15+C20+C24+C27+C31+C34+C43+C44+C45+C49+C60</f>
        <v>155600.58000000002</v>
      </c>
      <c r="D7" s="57">
        <f>D8+D15+D20+D24+D27+D31+D34+D43+D44+D45+D49+D60</f>
        <v>154661.89</v>
      </c>
      <c r="E7" s="45">
        <f aca="true" t="shared" si="0" ref="E7:E30">$D:$D/$B:$B*100</f>
        <v>34.978784674196376</v>
      </c>
      <c r="F7" s="45">
        <f aca="true" t="shared" si="1" ref="F7:F29">$D:$D/$C:$C*100</f>
        <v>99.39673104046271</v>
      </c>
      <c r="G7" s="57">
        <f>G8+G15+G20+G24+G27+G31+G34+G43+G44+G45+G49+G60</f>
        <v>155699.99999999997</v>
      </c>
      <c r="H7" s="45">
        <f aca="true" t="shared" si="2" ref="H7:H28">$D:$D/$G:$G*100</f>
        <v>99.33326268465</v>
      </c>
      <c r="I7" s="57">
        <f>I8+I15+I20+I24+I27+I31+I34+I43+I44+I45+I49+I60</f>
        <v>24373.72</v>
      </c>
    </row>
    <row r="8" spans="1:9" ht="12.75">
      <c r="A8" s="47" t="s">
        <v>4</v>
      </c>
      <c r="B8" s="58">
        <f>B9+B10</f>
        <v>276033.23999999993</v>
      </c>
      <c r="C8" s="58">
        <f>C9+C10</f>
        <v>96839</v>
      </c>
      <c r="D8" s="58">
        <f>D9+D10</f>
        <v>99771.58</v>
      </c>
      <c r="E8" s="45">
        <f t="shared" si="0"/>
        <v>36.144770100876265</v>
      </c>
      <c r="F8" s="45">
        <f t="shared" si="1"/>
        <v>103.02830471194457</v>
      </c>
      <c r="G8" s="58">
        <f>G9+G10</f>
        <v>94000.92</v>
      </c>
      <c r="H8" s="45">
        <f t="shared" si="2"/>
        <v>106.13893991675826</v>
      </c>
      <c r="I8" s="58">
        <f>I9+I10</f>
        <v>17698.649999999998</v>
      </c>
    </row>
    <row r="9" spans="1:9" ht="25.5">
      <c r="A9" s="48" t="s">
        <v>5</v>
      </c>
      <c r="B9" s="56">
        <v>6017.6</v>
      </c>
      <c r="C9" s="56">
        <v>2599</v>
      </c>
      <c r="D9" s="56">
        <v>5598.77</v>
      </c>
      <c r="E9" s="45">
        <f t="shared" si="0"/>
        <v>93.03991624567935</v>
      </c>
      <c r="F9" s="45">
        <f t="shared" si="1"/>
        <v>215.42016160061564</v>
      </c>
      <c r="G9" s="56">
        <v>1085.12</v>
      </c>
      <c r="H9" s="45">
        <f t="shared" si="2"/>
        <v>515.9586036567385</v>
      </c>
      <c r="I9" s="56">
        <v>661.01</v>
      </c>
    </row>
    <row r="10" spans="1:9" ht="12.75" customHeight="1">
      <c r="A10" s="49" t="s">
        <v>70</v>
      </c>
      <c r="B10" s="60">
        <f>B11+B12+B13+B14</f>
        <v>270015.63999999996</v>
      </c>
      <c r="C10" s="60">
        <f>C11+C12+C13+C14</f>
        <v>94240</v>
      </c>
      <c r="D10" s="60">
        <f>D11+D12+D13+D14</f>
        <v>94172.81</v>
      </c>
      <c r="E10" s="50">
        <f t="shared" si="0"/>
        <v>34.87679824768669</v>
      </c>
      <c r="F10" s="45">
        <f t="shared" si="1"/>
        <v>99.9287033106961</v>
      </c>
      <c r="G10" s="60">
        <f>G11+G12+G13+G14</f>
        <v>92915.8</v>
      </c>
      <c r="H10" s="50">
        <f t="shared" si="2"/>
        <v>101.35284849293662</v>
      </c>
      <c r="I10" s="60">
        <f>I11+I12+I13+I14</f>
        <v>17037.64</v>
      </c>
    </row>
    <row r="11" spans="1:9" ht="12.75" customHeight="1">
      <c r="A11" s="51" t="s">
        <v>74</v>
      </c>
      <c r="B11" s="61">
        <v>258218.54</v>
      </c>
      <c r="C11" s="61">
        <v>92000</v>
      </c>
      <c r="D11" s="61">
        <v>91807.69</v>
      </c>
      <c r="E11" s="45">
        <f t="shared" si="0"/>
        <v>35.554259581825534</v>
      </c>
      <c r="F11" s="45">
        <f t="shared" si="1"/>
        <v>99.79096739130435</v>
      </c>
      <c r="G11" s="61">
        <v>90455.84999999999</v>
      </c>
      <c r="H11" s="45">
        <f t="shared" si="2"/>
        <v>101.49447492892942</v>
      </c>
      <c r="I11" s="61">
        <v>16542.63</v>
      </c>
    </row>
    <row r="12" spans="1:9" ht="12.75" customHeight="1">
      <c r="A12" s="51" t="s">
        <v>75</v>
      </c>
      <c r="B12" s="61">
        <v>4039.82</v>
      </c>
      <c r="C12" s="61">
        <v>210</v>
      </c>
      <c r="D12" s="61">
        <v>473.37</v>
      </c>
      <c r="E12" s="45">
        <f t="shared" si="0"/>
        <v>11.717601279264917</v>
      </c>
      <c r="F12" s="45">
        <f t="shared" si="1"/>
        <v>225.4142857142857</v>
      </c>
      <c r="G12" s="61">
        <v>257.14000000000004</v>
      </c>
      <c r="H12" s="45">
        <f t="shared" si="2"/>
        <v>184.09037878198643</v>
      </c>
      <c r="I12" s="61">
        <v>185.54</v>
      </c>
    </row>
    <row r="13" spans="1:9" ht="12.75" customHeight="1">
      <c r="A13" s="51" t="s">
        <v>76</v>
      </c>
      <c r="B13" s="61">
        <v>4853.42</v>
      </c>
      <c r="C13" s="61">
        <v>930</v>
      </c>
      <c r="D13" s="61">
        <v>345.40000000000003</v>
      </c>
      <c r="E13" s="45">
        <f t="shared" si="0"/>
        <v>7.116631159058974</v>
      </c>
      <c r="F13" s="45">
        <f t="shared" si="1"/>
        <v>37.13978494623657</v>
      </c>
      <c r="G13" s="61">
        <v>876.32</v>
      </c>
      <c r="H13" s="45">
        <f t="shared" si="2"/>
        <v>39.41482563447143</v>
      </c>
      <c r="I13" s="61">
        <v>-0.45</v>
      </c>
    </row>
    <row r="14" spans="1:9" ht="12.75" customHeight="1">
      <c r="A14" s="52" t="s">
        <v>78</v>
      </c>
      <c r="B14" s="61">
        <v>2903.86</v>
      </c>
      <c r="C14" s="61">
        <v>1100</v>
      </c>
      <c r="D14" s="61">
        <v>1546.35</v>
      </c>
      <c r="E14" s="45">
        <f t="shared" si="0"/>
        <v>53.25153416487021</v>
      </c>
      <c r="F14" s="45">
        <f t="shared" si="1"/>
        <v>140.5772727272727</v>
      </c>
      <c r="G14" s="61">
        <v>1326.49</v>
      </c>
      <c r="H14" s="45">
        <f t="shared" si="2"/>
        <v>116.57456897526555</v>
      </c>
      <c r="I14" s="61">
        <v>309.92</v>
      </c>
    </row>
    <row r="15" spans="1:9" ht="12.75" customHeight="1">
      <c r="A15" s="53" t="s">
        <v>82</v>
      </c>
      <c r="B15" s="57">
        <f>B16+B17+B18+B19</f>
        <v>23712</v>
      </c>
      <c r="C15" s="57">
        <f>C16+C17+C18+C19</f>
        <v>9276.46</v>
      </c>
      <c r="D15" s="57">
        <f>D16+D17+D18+D19</f>
        <v>8218.18</v>
      </c>
      <c r="E15" s="45">
        <f t="shared" si="0"/>
        <v>34.65831646423752</v>
      </c>
      <c r="F15" s="45">
        <f t="shared" si="1"/>
        <v>88.59176884285601</v>
      </c>
      <c r="G15" s="57">
        <f>G16+G17+G18+G19</f>
        <v>9224.9</v>
      </c>
      <c r="H15" s="45">
        <f t="shared" si="2"/>
        <v>89.08692777157476</v>
      </c>
      <c r="I15" s="57">
        <f>I16+I17+I18+I19</f>
        <v>1260.3600000000001</v>
      </c>
    </row>
    <row r="16" spans="1:9" ht="12.75" customHeight="1">
      <c r="A16" s="37" t="s">
        <v>83</v>
      </c>
      <c r="B16" s="61">
        <v>10865.8</v>
      </c>
      <c r="C16" s="68">
        <v>4167.41</v>
      </c>
      <c r="D16" s="68">
        <v>3865.11</v>
      </c>
      <c r="E16" s="45">
        <f t="shared" si="0"/>
        <v>35.57133391006645</v>
      </c>
      <c r="F16" s="45">
        <f t="shared" si="1"/>
        <v>92.74609409681314</v>
      </c>
      <c r="G16" s="61">
        <v>4167.41</v>
      </c>
      <c r="H16" s="45">
        <f t="shared" si="2"/>
        <v>92.74609409681314</v>
      </c>
      <c r="I16" s="69">
        <v>679.25</v>
      </c>
    </row>
    <row r="17" spans="1:9" ht="12.75" customHeight="1">
      <c r="A17" s="37" t="s">
        <v>84</v>
      </c>
      <c r="B17" s="61">
        <v>56</v>
      </c>
      <c r="C17" s="68">
        <v>25</v>
      </c>
      <c r="D17" s="68">
        <v>24.62</v>
      </c>
      <c r="E17" s="45">
        <f t="shared" si="0"/>
        <v>43.964285714285715</v>
      </c>
      <c r="F17" s="45">
        <f t="shared" si="1"/>
        <v>98.48</v>
      </c>
      <c r="G17" s="61">
        <v>31.309999999999995</v>
      </c>
      <c r="H17" s="45">
        <f t="shared" si="2"/>
        <v>78.63302459278188</v>
      </c>
      <c r="I17" s="69">
        <v>5.5</v>
      </c>
    </row>
    <row r="18" spans="1:9" ht="51">
      <c r="A18" s="37" t="s">
        <v>85</v>
      </c>
      <c r="B18" s="61">
        <v>14192.6</v>
      </c>
      <c r="C18" s="68">
        <v>5784.05</v>
      </c>
      <c r="D18" s="68">
        <v>5138.2699999999995</v>
      </c>
      <c r="E18" s="45">
        <f t="shared" si="0"/>
        <v>36.203866803827346</v>
      </c>
      <c r="F18" s="45">
        <f t="shared" si="1"/>
        <v>88.83515875554325</v>
      </c>
      <c r="G18" s="61">
        <v>5784.05</v>
      </c>
      <c r="H18" s="45">
        <f t="shared" si="2"/>
        <v>88.83515875554325</v>
      </c>
      <c r="I18" s="69">
        <v>757.7</v>
      </c>
    </row>
    <row r="19" spans="1:9" ht="51" customHeight="1">
      <c r="A19" s="37" t="s">
        <v>86</v>
      </c>
      <c r="B19" s="61">
        <v>-1402.4</v>
      </c>
      <c r="C19" s="68">
        <v>-700</v>
      </c>
      <c r="D19" s="68">
        <v>-809.82</v>
      </c>
      <c r="E19" s="45">
        <f t="shared" si="0"/>
        <v>57.74529378208785</v>
      </c>
      <c r="F19" s="45">
        <f t="shared" si="1"/>
        <v>115.68857142857144</v>
      </c>
      <c r="G19" s="61">
        <v>-757.87</v>
      </c>
      <c r="H19" s="45">
        <f t="shared" si="2"/>
        <v>106.85473761990842</v>
      </c>
      <c r="I19" s="69">
        <v>-182.09</v>
      </c>
    </row>
    <row r="20" spans="1:9" ht="12.75">
      <c r="A20" s="54" t="s">
        <v>7</v>
      </c>
      <c r="B20" s="57">
        <f>B21+B22+B23</f>
        <v>34616.2</v>
      </c>
      <c r="C20" s="57">
        <f>C21+C22+C23</f>
        <v>15612.05</v>
      </c>
      <c r="D20" s="57">
        <f>D21+D22+D23</f>
        <v>15310.310000000001</v>
      </c>
      <c r="E20" s="45">
        <f t="shared" si="0"/>
        <v>44.2287426118407</v>
      </c>
      <c r="F20" s="45">
        <f t="shared" si="1"/>
        <v>98.06726214686734</v>
      </c>
      <c r="G20" s="57">
        <f>G21+G22+G23</f>
        <v>15654.31</v>
      </c>
      <c r="H20" s="45">
        <f t="shared" si="2"/>
        <v>97.80252211691223</v>
      </c>
      <c r="I20" s="57">
        <f>I21+I22+I23</f>
        <v>1215.54</v>
      </c>
    </row>
    <row r="21" spans="1:9" ht="12.75">
      <c r="A21" s="51" t="s">
        <v>89</v>
      </c>
      <c r="B21" s="61">
        <v>32762</v>
      </c>
      <c r="C21" s="61">
        <v>14665.49</v>
      </c>
      <c r="D21" s="61">
        <v>14500.87</v>
      </c>
      <c r="E21" s="45">
        <f t="shared" si="0"/>
        <v>44.26124778707039</v>
      </c>
      <c r="F21" s="45">
        <f t="shared" si="1"/>
        <v>98.87750085404579</v>
      </c>
      <c r="G21" s="61">
        <v>14665.83</v>
      </c>
      <c r="H21" s="45">
        <f t="shared" si="2"/>
        <v>98.87520856303395</v>
      </c>
      <c r="I21" s="61">
        <v>776.63</v>
      </c>
    </row>
    <row r="22" spans="1:9" ht="15" customHeight="1">
      <c r="A22" s="51" t="s">
        <v>87</v>
      </c>
      <c r="B22" s="61">
        <v>895.2</v>
      </c>
      <c r="C22" s="61">
        <v>750</v>
      </c>
      <c r="D22" s="61">
        <v>552.66</v>
      </c>
      <c r="E22" s="45">
        <f t="shared" si="0"/>
        <v>61.73592493297586</v>
      </c>
      <c r="F22" s="45">
        <f t="shared" si="1"/>
        <v>73.688</v>
      </c>
      <c r="G22" s="61">
        <v>791.92</v>
      </c>
      <c r="H22" s="45">
        <f t="shared" si="2"/>
        <v>69.78735225780382</v>
      </c>
      <c r="I22" s="61">
        <v>427.49</v>
      </c>
    </row>
    <row r="23" spans="1:9" ht="28.5" customHeight="1">
      <c r="A23" s="51" t="s">
        <v>88</v>
      </c>
      <c r="B23" s="61">
        <v>959</v>
      </c>
      <c r="C23" s="61">
        <v>196.56</v>
      </c>
      <c r="D23" s="61">
        <v>256.78000000000003</v>
      </c>
      <c r="E23" s="45">
        <f t="shared" si="0"/>
        <v>26.775808133472367</v>
      </c>
      <c r="F23" s="45">
        <f t="shared" si="1"/>
        <v>130.63695563695566</v>
      </c>
      <c r="G23" s="61">
        <v>196.56</v>
      </c>
      <c r="H23" s="45">
        <f t="shared" si="2"/>
        <v>130.63695563695566</v>
      </c>
      <c r="I23" s="61">
        <v>11.42</v>
      </c>
    </row>
    <row r="24" spans="1:9" ht="15.75" customHeight="1">
      <c r="A24" s="54" t="s">
        <v>8</v>
      </c>
      <c r="B24" s="57">
        <f>SUM(B25:B26)</f>
        <v>36295.600000000006</v>
      </c>
      <c r="C24" s="57">
        <f>SUM(C25:C26)</f>
        <v>7002.26</v>
      </c>
      <c r="D24" s="57">
        <f>SUM(D25:D26)</f>
        <v>6411.37</v>
      </c>
      <c r="E24" s="45">
        <f t="shared" si="0"/>
        <v>17.664317437926357</v>
      </c>
      <c r="F24" s="45">
        <f t="shared" si="1"/>
        <v>91.56143873549397</v>
      </c>
      <c r="G24" s="57">
        <f>SUM(G25:G26)</f>
        <v>6713.71</v>
      </c>
      <c r="H24" s="45">
        <f t="shared" si="2"/>
        <v>95.49667769385333</v>
      </c>
      <c r="I24" s="57">
        <f>SUM(I25:I26)</f>
        <v>674.61</v>
      </c>
    </row>
    <row r="25" spans="1:9" ht="16.5" customHeight="1">
      <c r="A25" s="51" t="s">
        <v>106</v>
      </c>
      <c r="B25" s="61">
        <v>18923.7</v>
      </c>
      <c r="C25" s="61">
        <v>1900</v>
      </c>
      <c r="D25" s="61">
        <v>1890.08</v>
      </c>
      <c r="E25" s="45">
        <f t="shared" si="0"/>
        <v>9.987898772438793</v>
      </c>
      <c r="F25" s="45">
        <f t="shared" si="1"/>
        <v>99.4778947368421</v>
      </c>
      <c r="G25" s="61">
        <v>1611.45</v>
      </c>
      <c r="H25" s="45">
        <f t="shared" si="2"/>
        <v>117.29063886561792</v>
      </c>
      <c r="I25" s="61">
        <v>295.6</v>
      </c>
    </row>
    <row r="26" spans="1:9" ht="15.75" customHeight="1">
      <c r="A26" s="51" t="s">
        <v>107</v>
      </c>
      <c r="B26" s="61">
        <v>17371.9</v>
      </c>
      <c r="C26" s="61">
        <v>5102.26</v>
      </c>
      <c r="D26" s="61">
        <v>4521.29</v>
      </c>
      <c r="E26" s="45">
        <f t="shared" si="0"/>
        <v>26.02645651886092</v>
      </c>
      <c r="F26" s="45">
        <f t="shared" si="1"/>
        <v>88.61347716502098</v>
      </c>
      <c r="G26" s="61">
        <v>5102.26</v>
      </c>
      <c r="H26" s="45">
        <f t="shared" si="2"/>
        <v>88.61347716502098</v>
      </c>
      <c r="I26" s="61">
        <v>379.01</v>
      </c>
    </row>
    <row r="27" spans="1:9" ht="13.5" customHeight="1">
      <c r="A27" s="47" t="s">
        <v>9</v>
      </c>
      <c r="B27" s="57">
        <f>B28+B29+B30</f>
        <v>14814.9</v>
      </c>
      <c r="C27" s="57">
        <f>C28+C29+C30</f>
        <v>4844.2</v>
      </c>
      <c r="D27" s="57">
        <f>D28+D29+D30</f>
        <v>5109.990000000001</v>
      </c>
      <c r="E27" s="45">
        <f t="shared" si="0"/>
        <v>34.49223416965353</v>
      </c>
      <c r="F27" s="45">
        <f t="shared" si="1"/>
        <v>105.48676768093806</v>
      </c>
      <c r="G27" s="57">
        <f>G28+G29+G30</f>
        <v>5753.68</v>
      </c>
      <c r="H27" s="45">
        <f t="shared" si="2"/>
        <v>88.81255127153406</v>
      </c>
      <c r="I27" s="57">
        <f>I28+I29+I30</f>
        <v>857.5</v>
      </c>
    </row>
    <row r="28" spans="1:9" ht="25.5">
      <c r="A28" s="51" t="s">
        <v>10</v>
      </c>
      <c r="B28" s="61">
        <v>14680.1</v>
      </c>
      <c r="C28" s="61">
        <v>4800</v>
      </c>
      <c r="D28" s="61">
        <v>5072.39</v>
      </c>
      <c r="E28" s="45">
        <f t="shared" si="0"/>
        <v>34.55283002159386</v>
      </c>
      <c r="F28" s="45">
        <f t="shared" si="1"/>
        <v>105.67479166666666</v>
      </c>
      <c r="G28" s="61">
        <v>5722.68</v>
      </c>
      <c r="H28" s="45">
        <f t="shared" si="2"/>
        <v>88.6366178084394</v>
      </c>
      <c r="I28" s="61">
        <v>852.7</v>
      </c>
    </row>
    <row r="29" spans="1:9" ht="18.75" customHeight="1">
      <c r="A29" s="51" t="s">
        <v>91</v>
      </c>
      <c r="B29" s="61">
        <v>84.8</v>
      </c>
      <c r="C29" s="61">
        <v>29.2</v>
      </c>
      <c r="D29" s="61">
        <v>17.6</v>
      </c>
      <c r="E29" s="45">
        <f t="shared" si="0"/>
        <v>20.75471698113208</v>
      </c>
      <c r="F29" s="45">
        <f t="shared" si="1"/>
        <v>60.27397260273973</v>
      </c>
      <c r="G29" s="61">
        <v>16</v>
      </c>
      <c r="H29" s="45" t="s">
        <v>111</v>
      </c>
      <c r="I29" s="61">
        <v>4.8</v>
      </c>
    </row>
    <row r="30" spans="1:9" ht="26.25" customHeight="1">
      <c r="A30" s="51" t="s">
        <v>90</v>
      </c>
      <c r="B30" s="61">
        <v>50</v>
      </c>
      <c r="C30" s="61">
        <v>15</v>
      </c>
      <c r="D30" s="61">
        <v>20</v>
      </c>
      <c r="E30" s="45">
        <f t="shared" si="0"/>
        <v>40</v>
      </c>
      <c r="F30" s="45" t="s">
        <v>111</v>
      </c>
      <c r="G30" s="61">
        <v>15</v>
      </c>
      <c r="H30" s="45" t="s">
        <v>111</v>
      </c>
      <c r="I30" s="61">
        <v>0</v>
      </c>
    </row>
    <row r="31" spans="1:9" ht="15.75" customHeight="1">
      <c r="A31" s="54" t="s">
        <v>11</v>
      </c>
      <c r="B31" s="57">
        <f>B32+B33</f>
        <v>0</v>
      </c>
      <c r="C31" s="57">
        <f>C32+C33</f>
        <v>0</v>
      </c>
      <c r="D31" s="57">
        <f>D32+D33</f>
        <v>0.07</v>
      </c>
      <c r="E31" s="45" t="s">
        <v>111</v>
      </c>
      <c r="F31" s="45" t="s">
        <v>111</v>
      </c>
      <c r="G31" s="57">
        <f>G32+G33</f>
        <v>0.17</v>
      </c>
      <c r="H31" s="45" t="s">
        <v>111</v>
      </c>
      <c r="I31" s="57">
        <f>I32+I33</f>
        <v>0</v>
      </c>
    </row>
    <row r="32" spans="1:9" ht="25.5">
      <c r="A32" s="51" t="s">
        <v>116</v>
      </c>
      <c r="B32" s="61">
        <v>0</v>
      </c>
      <c r="C32" s="61">
        <v>0</v>
      </c>
      <c r="D32" s="61">
        <v>0</v>
      </c>
      <c r="E32" s="45" t="s">
        <v>111</v>
      </c>
      <c r="F32" s="45" t="s">
        <v>111</v>
      </c>
      <c r="G32" s="61">
        <v>0</v>
      </c>
      <c r="H32" s="45" t="s">
        <v>111</v>
      </c>
      <c r="I32" s="61">
        <v>0</v>
      </c>
    </row>
    <row r="33" spans="1:9" ht="25.5">
      <c r="A33" s="51" t="s">
        <v>92</v>
      </c>
      <c r="B33" s="61">
        <v>0</v>
      </c>
      <c r="C33" s="61">
        <v>0</v>
      </c>
      <c r="D33" s="61">
        <v>0.07</v>
      </c>
      <c r="E33" s="45" t="s">
        <v>111</v>
      </c>
      <c r="F33" s="45" t="s">
        <v>111</v>
      </c>
      <c r="G33" s="61">
        <v>0.17</v>
      </c>
      <c r="H33" s="45" t="s">
        <v>111</v>
      </c>
      <c r="I33" s="61">
        <v>0</v>
      </c>
    </row>
    <row r="34" spans="1:9" ht="38.25">
      <c r="A34" s="54" t="s">
        <v>12</v>
      </c>
      <c r="B34" s="57">
        <f>B35+B37+B38+B39+B41+B42+B36</f>
        <v>50872.7</v>
      </c>
      <c r="C34" s="59">
        <f>SUM(C35:C42)</f>
        <v>19138.39</v>
      </c>
      <c r="D34" s="59">
        <f>SUM(D35:D42)</f>
        <v>15677.65</v>
      </c>
      <c r="E34" s="45">
        <f>$D:$D/$B:$B*100</f>
        <v>30.817412875668087</v>
      </c>
      <c r="F34" s="45">
        <f aca="true" t="shared" si="3" ref="F34:F40">$D:$D/$C:$C*100</f>
        <v>81.9172877133343</v>
      </c>
      <c r="G34" s="59">
        <f>SUM(G35:G42)</f>
        <v>16642.579999999998</v>
      </c>
      <c r="H34" s="45">
        <f>$D:$D/$G:$G*100</f>
        <v>94.20204078934877</v>
      </c>
      <c r="I34" s="59">
        <f>SUM(I35:I42)</f>
        <v>1873.43</v>
      </c>
    </row>
    <row r="35" spans="1:9" ht="76.5" hidden="1">
      <c r="A35" s="51" t="s">
        <v>114</v>
      </c>
      <c r="B35" s="61"/>
      <c r="C35" s="61"/>
      <c r="D35" s="61"/>
      <c r="E35" s="45" t="s">
        <v>112</v>
      </c>
      <c r="F35" s="45" t="e">
        <f t="shared" si="3"/>
        <v>#DIV/0!</v>
      </c>
      <c r="G35" s="61"/>
      <c r="H35" s="45" t="e">
        <f>$D:$D/$G:$G*100</f>
        <v>#DIV/0!</v>
      </c>
      <c r="I35" s="61"/>
    </row>
    <row r="36" spans="1:9" ht="76.5">
      <c r="A36" s="51" t="s">
        <v>117</v>
      </c>
      <c r="B36" s="61">
        <v>26368</v>
      </c>
      <c r="C36" s="61">
        <v>8500</v>
      </c>
      <c r="D36" s="61">
        <v>8460.16</v>
      </c>
      <c r="E36" s="45">
        <f>$D:$D/$B:$B*100</f>
        <v>32.08495145631068</v>
      </c>
      <c r="F36" s="45">
        <f t="shared" si="3"/>
        <v>99.53129411764706</v>
      </c>
      <c r="G36" s="61">
        <v>8491.4</v>
      </c>
      <c r="H36" s="45">
        <f>$D:$D/$G:$G*100</f>
        <v>99.63209835833902</v>
      </c>
      <c r="I36" s="61">
        <v>895.23</v>
      </c>
    </row>
    <row r="37" spans="1:9" ht="76.5">
      <c r="A37" s="51" t="s">
        <v>125</v>
      </c>
      <c r="B37" s="61">
        <v>628</v>
      </c>
      <c r="C37" s="61">
        <v>261.49</v>
      </c>
      <c r="D37" s="61">
        <v>379.84</v>
      </c>
      <c r="E37" s="45">
        <f>$D:$D/$B:$B*100</f>
        <v>60.48407643312102</v>
      </c>
      <c r="F37" s="45">
        <f t="shared" si="3"/>
        <v>145.25985697349802</v>
      </c>
      <c r="G37" s="61">
        <v>0.14</v>
      </c>
      <c r="H37" s="45" t="s">
        <v>111</v>
      </c>
      <c r="I37" s="61">
        <v>77.81</v>
      </c>
    </row>
    <row r="38" spans="1:9" ht="76.5">
      <c r="A38" s="51" t="s">
        <v>118</v>
      </c>
      <c r="B38" s="61">
        <v>530.18</v>
      </c>
      <c r="C38" s="61">
        <v>220.9</v>
      </c>
      <c r="D38" s="61">
        <v>118.88999999999999</v>
      </c>
      <c r="E38" s="45">
        <f>$D:$D/$B:$B*100</f>
        <v>22.4244596174884</v>
      </c>
      <c r="F38" s="45">
        <f t="shared" si="3"/>
        <v>53.82073336351289</v>
      </c>
      <c r="G38" s="61">
        <v>124.07</v>
      </c>
      <c r="H38" s="45">
        <f>$D:$D/$G:$G*100</f>
        <v>95.82493753526235</v>
      </c>
      <c r="I38" s="61">
        <v>27.13</v>
      </c>
    </row>
    <row r="39" spans="1:9" ht="38.25">
      <c r="A39" s="51" t="s">
        <v>119</v>
      </c>
      <c r="B39" s="61">
        <v>19213.07</v>
      </c>
      <c r="C39" s="61">
        <v>8000</v>
      </c>
      <c r="D39" s="61">
        <v>4693.74</v>
      </c>
      <c r="E39" s="45">
        <f>$D:$D/$B:$B*100</f>
        <v>24.42993233252156</v>
      </c>
      <c r="F39" s="45">
        <f t="shared" si="3"/>
        <v>58.67175</v>
      </c>
      <c r="G39" s="61">
        <v>6230.32</v>
      </c>
      <c r="H39" s="45">
        <f>$D:$D/$G:$G*100</f>
        <v>75.33706133874344</v>
      </c>
      <c r="I39" s="61">
        <v>381.77</v>
      </c>
    </row>
    <row r="40" spans="1:9" ht="51">
      <c r="A40" s="51" t="s">
        <v>138</v>
      </c>
      <c r="B40" s="61"/>
      <c r="C40" s="61">
        <v>0</v>
      </c>
      <c r="D40" s="61">
        <v>7.01</v>
      </c>
      <c r="E40" s="45"/>
      <c r="F40" s="45" t="e">
        <f t="shared" si="3"/>
        <v>#DIV/0!</v>
      </c>
      <c r="G40" s="61"/>
      <c r="H40" s="45"/>
      <c r="I40" s="61">
        <v>0</v>
      </c>
    </row>
    <row r="41" spans="1:9" ht="51">
      <c r="A41" s="51" t="s">
        <v>120</v>
      </c>
      <c r="B41" s="61">
        <v>691</v>
      </c>
      <c r="C41" s="61">
        <v>691</v>
      </c>
      <c r="D41" s="61">
        <v>445.23</v>
      </c>
      <c r="E41" s="45">
        <f>$D:$D/$B:$B*100</f>
        <v>64.4327062228654</v>
      </c>
      <c r="F41" s="45" t="s">
        <v>111</v>
      </c>
      <c r="G41" s="61">
        <v>690.92</v>
      </c>
      <c r="H41" s="45" t="s">
        <v>111</v>
      </c>
      <c r="I41" s="61">
        <v>341.58</v>
      </c>
    </row>
    <row r="42" spans="1:9" ht="76.5">
      <c r="A42" s="55" t="s">
        <v>121</v>
      </c>
      <c r="B42" s="61">
        <v>3442.45</v>
      </c>
      <c r="C42" s="61">
        <v>1465</v>
      </c>
      <c r="D42" s="61">
        <v>1572.78</v>
      </c>
      <c r="E42" s="45">
        <f>$D:$D/$B:$B*100</f>
        <v>45.687809554241895</v>
      </c>
      <c r="F42" s="45">
        <f>$D:$D/$C:$C*100</f>
        <v>107.35699658703071</v>
      </c>
      <c r="G42" s="61">
        <v>1105.73</v>
      </c>
      <c r="H42" s="45">
        <f>$D:$D/$G:$G*100</f>
        <v>142.23906378591516</v>
      </c>
      <c r="I42" s="61">
        <v>149.91</v>
      </c>
    </row>
    <row r="43" spans="1:9" ht="29.25" customHeight="1">
      <c r="A43" s="48" t="s">
        <v>13</v>
      </c>
      <c r="B43" s="56">
        <v>515</v>
      </c>
      <c r="C43" s="56">
        <v>342.01</v>
      </c>
      <c r="D43" s="56">
        <v>160.64</v>
      </c>
      <c r="E43" s="45">
        <f>$D:$D/$B:$B*100</f>
        <v>31.192233009708737</v>
      </c>
      <c r="F43" s="45">
        <f>$D:$D/$C:$C*100</f>
        <v>46.96938686003333</v>
      </c>
      <c r="G43" s="56">
        <v>312.04</v>
      </c>
      <c r="H43" s="45">
        <f>$D:$D/$G:$G*100</f>
        <v>51.48057941289578</v>
      </c>
      <c r="I43" s="56">
        <v>-4.66</v>
      </c>
    </row>
    <row r="44" spans="1:9" ht="27" customHeight="1">
      <c r="A44" s="48" t="s">
        <v>96</v>
      </c>
      <c r="B44" s="56">
        <v>1829.19</v>
      </c>
      <c r="C44" s="56">
        <v>714.95</v>
      </c>
      <c r="D44" s="56">
        <v>1413.82</v>
      </c>
      <c r="E44" s="45">
        <f>$D:$D/$B:$B*100</f>
        <v>77.29213477003482</v>
      </c>
      <c r="F44" s="45">
        <f>$D:$D/$C:$C*100</f>
        <v>197.75089167074617</v>
      </c>
      <c r="G44" s="56">
        <v>1138.91</v>
      </c>
      <c r="H44" s="45">
        <f>$D:$D/$G:$G*100</f>
        <v>124.13799158844859</v>
      </c>
      <c r="I44" s="56">
        <v>123.99</v>
      </c>
    </row>
    <row r="45" spans="1:9" ht="25.5">
      <c r="A45" s="54" t="s">
        <v>14</v>
      </c>
      <c r="B45" s="57">
        <f>B46+B47+B48</f>
        <v>1497.5</v>
      </c>
      <c r="C45" s="57">
        <f>C46+C47+C48</f>
        <v>501</v>
      </c>
      <c r="D45" s="57">
        <f>D46+D47+D48</f>
        <v>1349.99</v>
      </c>
      <c r="E45" s="45">
        <f>$D:$D/$B:$B*100</f>
        <v>90.14958263772955</v>
      </c>
      <c r="F45" s="45">
        <f>$D:$D/$C:$C*100</f>
        <v>269.45908183632736</v>
      </c>
      <c r="G45" s="57">
        <f>G46+G47+G48</f>
        <v>1097.99</v>
      </c>
      <c r="H45" s="45">
        <f>$D:$D/$G:$G*100</f>
        <v>122.95102869789343</v>
      </c>
      <c r="I45" s="57">
        <f>I46+I47+I48</f>
        <v>588.46</v>
      </c>
    </row>
    <row r="46" spans="1:9" ht="12.75">
      <c r="A46" s="51" t="s">
        <v>94</v>
      </c>
      <c r="B46" s="61">
        <v>0</v>
      </c>
      <c r="C46" s="61">
        <v>0</v>
      </c>
      <c r="D46" s="61">
        <v>413.05</v>
      </c>
      <c r="E46" s="45" t="s">
        <v>111</v>
      </c>
      <c r="F46" s="45" t="s">
        <v>111</v>
      </c>
      <c r="G46" s="61">
        <v>0</v>
      </c>
      <c r="H46" s="45" t="s">
        <v>111</v>
      </c>
      <c r="I46" s="61">
        <v>413.05</v>
      </c>
    </row>
    <row r="47" spans="1:9" ht="76.5">
      <c r="A47" s="51" t="s">
        <v>95</v>
      </c>
      <c r="B47" s="61">
        <v>97.5</v>
      </c>
      <c r="C47" s="61">
        <v>61</v>
      </c>
      <c r="D47" s="61">
        <v>98.3</v>
      </c>
      <c r="E47" s="45" t="s">
        <v>112</v>
      </c>
      <c r="F47" s="45">
        <f aca="true" t="shared" si="4" ref="F47:F59">$D:$D/$C:$C*100</f>
        <v>161.14754098360655</v>
      </c>
      <c r="G47" s="61">
        <v>62.82</v>
      </c>
      <c r="H47" s="45">
        <f aca="true" t="shared" si="5" ref="H47:H52">$D:$D/$G:$G*100</f>
        <v>156.47882839859918</v>
      </c>
      <c r="I47" s="61">
        <v>24.38</v>
      </c>
    </row>
    <row r="48" spans="1:9" ht="12.75">
      <c r="A48" s="55" t="s">
        <v>93</v>
      </c>
      <c r="B48" s="61">
        <v>1400</v>
      </c>
      <c r="C48" s="61">
        <v>440</v>
      </c>
      <c r="D48" s="61">
        <v>838.64</v>
      </c>
      <c r="E48" s="45">
        <f aca="true" t="shared" si="6" ref="E48:E53">$D:$D/$B:$B*100</f>
        <v>59.902857142857144</v>
      </c>
      <c r="F48" s="45">
        <f t="shared" si="4"/>
        <v>190.6</v>
      </c>
      <c r="G48" s="61">
        <v>1035.17</v>
      </c>
      <c r="H48" s="45">
        <f t="shared" si="5"/>
        <v>81.01471255928978</v>
      </c>
      <c r="I48" s="61">
        <v>151.03</v>
      </c>
    </row>
    <row r="49" spans="1:9" ht="12.75">
      <c r="A49" s="48" t="s">
        <v>15</v>
      </c>
      <c r="B49" s="57">
        <v>1972.8</v>
      </c>
      <c r="C49" s="57">
        <v>1290.26</v>
      </c>
      <c r="D49" s="57">
        <v>1292.48</v>
      </c>
      <c r="E49" s="45">
        <f t="shared" si="6"/>
        <v>65.51500405515004</v>
      </c>
      <c r="F49" s="45">
        <f t="shared" si="4"/>
        <v>100.17205834482972</v>
      </c>
      <c r="G49" s="57">
        <v>5107.55</v>
      </c>
      <c r="H49" s="45">
        <f t="shared" si="5"/>
        <v>25.305283355033236</v>
      </c>
      <c r="I49" s="57">
        <v>71.26</v>
      </c>
    </row>
    <row r="50" spans="1:9" ht="63.75" hidden="1">
      <c r="A50" s="51" t="s">
        <v>126</v>
      </c>
      <c r="B50" s="61"/>
      <c r="C50" s="61"/>
      <c r="D50" s="61"/>
      <c r="E50" s="45" t="e">
        <f t="shared" si="6"/>
        <v>#DIV/0!</v>
      </c>
      <c r="F50" s="45" t="e">
        <f t="shared" si="4"/>
        <v>#DIV/0!</v>
      </c>
      <c r="G50" s="61"/>
      <c r="H50" s="45" t="e">
        <f t="shared" si="5"/>
        <v>#DIV/0!</v>
      </c>
      <c r="I50" s="61"/>
    </row>
    <row r="51" spans="1:9" ht="89.25" hidden="1">
      <c r="A51" s="51" t="s">
        <v>127</v>
      </c>
      <c r="B51" s="61"/>
      <c r="C51" s="61"/>
      <c r="D51" s="61"/>
      <c r="E51" s="45" t="e">
        <f t="shared" si="6"/>
        <v>#DIV/0!</v>
      </c>
      <c r="F51" s="45" t="e">
        <f t="shared" si="4"/>
        <v>#DIV/0!</v>
      </c>
      <c r="G51" s="61"/>
      <c r="H51" s="45" t="e">
        <f t="shared" si="5"/>
        <v>#DIV/0!</v>
      </c>
      <c r="I51" s="61"/>
    </row>
    <row r="52" spans="1:9" ht="14.25" customHeight="1" hidden="1">
      <c r="A52" s="51" t="s">
        <v>128</v>
      </c>
      <c r="B52" s="61"/>
      <c r="C52" s="61"/>
      <c r="D52" s="61"/>
      <c r="E52" s="45" t="e">
        <f t="shared" si="6"/>
        <v>#DIV/0!</v>
      </c>
      <c r="F52" s="45" t="e">
        <f t="shared" si="4"/>
        <v>#DIV/0!</v>
      </c>
      <c r="G52" s="61"/>
      <c r="H52" s="45" t="e">
        <f t="shared" si="5"/>
        <v>#DIV/0!</v>
      </c>
      <c r="I52" s="61"/>
    </row>
    <row r="53" spans="1:9" ht="63.75" hidden="1">
      <c r="A53" s="51" t="s">
        <v>129</v>
      </c>
      <c r="B53" s="61"/>
      <c r="C53" s="61"/>
      <c r="D53" s="61"/>
      <c r="E53" s="45" t="e">
        <f t="shared" si="6"/>
        <v>#DIV/0!</v>
      </c>
      <c r="F53" s="45" t="e">
        <f t="shared" si="4"/>
        <v>#DIV/0!</v>
      </c>
      <c r="G53" s="61"/>
      <c r="H53" s="45" t="s">
        <v>112</v>
      </c>
      <c r="I53" s="61"/>
    </row>
    <row r="54" spans="1:9" ht="63.75" hidden="1">
      <c r="A54" s="51" t="s">
        <v>130</v>
      </c>
      <c r="B54" s="61"/>
      <c r="C54" s="61"/>
      <c r="D54" s="61"/>
      <c r="E54" s="45" t="s">
        <v>112</v>
      </c>
      <c r="F54" s="45" t="e">
        <f t="shared" si="4"/>
        <v>#DIV/0!</v>
      </c>
      <c r="G54" s="61"/>
      <c r="H54" s="45" t="e">
        <f>$D:$D/$G:$G*100</f>
        <v>#DIV/0!</v>
      </c>
      <c r="I54" s="61"/>
    </row>
    <row r="55" spans="1:9" ht="63.75" hidden="1">
      <c r="A55" s="51" t="s">
        <v>131</v>
      </c>
      <c r="B55" s="61"/>
      <c r="C55" s="61"/>
      <c r="D55" s="61"/>
      <c r="E55" s="45" t="e">
        <f>$D:$D/$B:$B*100</f>
        <v>#DIV/0!</v>
      </c>
      <c r="F55" s="45" t="e">
        <f t="shared" si="4"/>
        <v>#DIV/0!</v>
      </c>
      <c r="G55" s="61"/>
      <c r="H55" s="45" t="e">
        <f>$D:$D/$G:$G*100</f>
        <v>#DIV/0!</v>
      </c>
      <c r="I55" s="61"/>
    </row>
    <row r="56" spans="1:9" ht="76.5" hidden="1">
      <c r="A56" s="51" t="s">
        <v>132</v>
      </c>
      <c r="B56" s="61"/>
      <c r="C56" s="61"/>
      <c r="D56" s="61"/>
      <c r="E56" s="45" t="e">
        <f>$D:$D/$B:$B*100</f>
        <v>#DIV/0!</v>
      </c>
      <c r="F56" s="45" t="e">
        <f t="shared" si="4"/>
        <v>#DIV/0!</v>
      </c>
      <c r="G56" s="61"/>
      <c r="H56" s="45" t="e">
        <f>$D:$D/$G:$G*100</f>
        <v>#DIV/0!</v>
      </c>
      <c r="I56" s="61"/>
    </row>
    <row r="57" spans="1:9" ht="52.5" customHeight="1" hidden="1">
      <c r="A57" s="51" t="s">
        <v>133</v>
      </c>
      <c r="B57" s="61"/>
      <c r="C57" s="61"/>
      <c r="D57" s="61"/>
      <c r="E57" s="45" t="e">
        <f>$D:$D/$B:$B*100</f>
        <v>#DIV/0!</v>
      </c>
      <c r="F57" s="45" t="e">
        <f t="shared" si="4"/>
        <v>#DIV/0!</v>
      </c>
      <c r="G57" s="61"/>
      <c r="H57" s="45" t="e">
        <f>$D:$D/$G:$G*100</f>
        <v>#DIV/0!</v>
      </c>
      <c r="I57" s="61"/>
    </row>
    <row r="58" spans="1:9" ht="76.5" hidden="1">
      <c r="A58" s="51" t="s">
        <v>134</v>
      </c>
      <c r="B58" s="61"/>
      <c r="C58" s="61"/>
      <c r="D58" s="61"/>
      <c r="E58" s="45" t="s">
        <v>111</v>
      </c>
      <c r="F58" s="45" t="e">
        <f t="shared" si="4"/>
        <v>#DIV/0!</v>
      </c>
      <c r="G58" s="61"/>
      <c r="H58" s="45" t="s">
        <v>111</v>
      </c>
      <c r="I58" s="61"/>
    </row>
    <row r="59" spans="1:9" ht="12.75" hidden="1">
      <c r="A59" s="51" t="s">
        <v>135</v>
      </c>
      <c r="B59" s="61"/>
      <c r="C59" s="61"/>
      <c r="D59" s="61"/>
      <c r="E59" s="45" t="e">
        <f aca="true" t="shared" si="7" ref="E59:E67">$D:$D/$B:$B*100</f>
        <v>#DIV/0!</v>
      </c>
      <c r="F59" s="45" t="e">
        <f t="shared" si="4"/>
        <v>#DIV/0!</v>
      </c>
      <c r="G59" s="61"/>
      <c r="H59" s="45" t="s">
        <v>112</v>
      </c>
      <c r="I59" s="61"/>
    </row>
    <row r="60" spans="1:9" ht="12.75">
      <c r="A60" s="47" t="s">
        <v>16</v>
      </c>
      <c r="B60" s="56">
        <v>160.35</v>
      </c>
      <c r="C60" s="56">
        <v>40</v>
      </c>
      <c r="D60" s="56">
        <v>-54.19</v>
      </c>
      <c r="E60" s="45">
        <f t="shared" si="7"/>
        <v>-33.79482382288743</v>
      </c>
      <c r="F60" s="45" t="s">
        <v>111</v>
      </c>
      <c r="G60" s="56">
        <v>53.24</v>
      </c>
      <c r="H60" s="45">
        <f aca="true" t="shared" si="8" ref="H60:H66">$D:$D/$G:$G*100</f>
        <v>-101.78437265214124</v>
      </c>
      <c r="I60" s="56">
        <v>14.58</v>
      </c>
    </row>
    <row r="61" spans="1:9" ht="12.75">
      <c r="A61" s="54" t="s">
        <v>17</v>
      </c>
      <c r="B61" s="57">
        <f>B8+B15+B20+B24+B27+B31+B34+B43+B44+B45+B60+B49</f>
        <v>442319.4799999999</v>
      </c>
      <c r="C61" s="57">
        <f>C8+C15+C20+C24+C27+C31+C34+C43+C44+C45+C60+C49</f>
        <v>155600.58000000002</v>
      </c>
      <c r="D61" s="57">
        <f>D8+D15+D20+D24+D27+D31+D34+D43+D44+D45+D60+D49</f>
        <v>154661.89</v>
      </c>
      <c r="E61" s="45">
        <f t="shared" si="7"/>
        <v>34.96610413812207</v>
      </c>
      <c r="F61" s="45">
        <f aca="true" t="shared" si="9" ref="F61:F66">$D:$D/$C:$C*100</f>
        <v>99.39673104046271</v>
      </c>
      <c r="G61" s="57">
        <f>G8+G15+G20+G24+G27+G31+G34+G43+G44+G45+G60+G49</f>
        <v>155699.99999999997</v>
      </c>
      <c r="H61" s="45">
        <f t="shared" si="8"/>
        <v>99.33326268465</v>
      </c>
      <c r="I61" s="57">
        <f>I8+I15+I20+I24+I27+I31+I34+I43+I44+I45+I60+I49</f>
        <v>24373.72</v>
      </c>
    </row>
    <row r="62" spans="1:9" ht="16.5" customHeight="1">
      <c r="A62" s="54" t="s">
        <v>18</v>
      </c>
      <c r="B62" s="57">
        <f>B63+B69+B68</f>
        <v>1996762.33</v>
      </c>
      <c r="C62" s="57">
        <f>C63+C69+C68</f>
        <v>604314.6300000001</v>
      </c>
      <c r="D62" s="57">
        <f>D63+D69+D68</f>
        <v>603906.0399999999</v>
      </c>
      <c r="E62" s="45">
        <f t="shared" si="7"/>
        <v>30.244262470636645</v>
      </c>
      <c r="F62" s="45">
        <f t="shared" si="9"/>
        <v>99.93238786888212</v>
      </c>
      <c r="G62" s="57">
        <f>G63+G69+G68</f>
        <v>578108.01</v>
      </c>
      <c r="H62" s="45">
        <f t="shared" si="8"/>
        <v>104.4624930901753</v>
      </c>
      <c r="I62" s="57">
        <f>I63+I69+I68</f>
        <v>143715.47999999998</v>
      </c>
    </row>
    <row r="63" spans="1:9" ht="25.5" customHeight="1">
      <c r="A63" s="54" t="s">
        <v>19</v>
      </c>
      <c r="B63" s="57">
        <f>B64+B65+B67+B66</f>
        <v>1999031.53</v>
      </c>
      <c r="C63" s="57">
        <f>C64+C65+C67+C66</f>
        <v>606583.8300000001</v>
      </c>
      <c r="D63" s="57">
        <f>D64+D65+D67+D66</f>
        <v>606583.85</v>
      </c>
      <c r="E63" s="45">
        <f t="shared" si="7"/>
        <v>30.343886071671918</v>
      </c>
      <c r="F63" s="45">
        <f t="shared" si="9"/>
        <v>100.00000329715348</v>
      </c>
      <c r="G63" s="57">
        <f>G64+G65+G67+G66</f>
        <v>578975.09</v>
      </c>
      <c r="H63" s="45">
        <f t="shared" si="8"/>
        <v>104.7685574866442</v>
      </c>
      <c r="I63" s="57">
        <f>I64+I65+I67+I66</f>
        <v>143721.09999999998</v>
      </c>
    </row>
    <row r="64" spans="1:9" ht="13.5" customHeight="1">
      <c r="A64" s="51" t="s">
        <v>108</v>
      </c>
      <c r="B64" s="61">
        <v>473017.9</v>
      </c>
      <c r="C64" s="61">
        <v>188527.6</v>
      </c>
      <c r="D64" s="61">
        <v>188527.6</v>
      </c>
      <c r="E64" s="45">
        <f t="shared" si="7"/>
        <v>39.8563352465097</v>
      </c>
      <c r="F64" s="45">
        <f t="shared" si="9"/>
        <v>100</v>
      </c>
      <c r="G64" s="61">
        <v>163738.28</v>
      </c>
      <c r="H64" s="45">
        <f t="shared" si="8"/>
        <v>115.13959960981634</v>
      </c>
      <c r="I64" s="61">
        <v>26293.6</v>
      </c>
    </row>
    <row r="65" spans="1:9" ht="13.5" customHeight="1">
      <c r="A65" s="51" t="s">
        <v>109</v>
      </c>
      <c r="B65" s="61">
        <v>495378.37</v>
      </c>
      <c r="C65" s="61">
        <v>29735.61</v>
      </c>
      <c r="D65" s="61">
        <v>29735.620000000003</v>
      </c>
      <c r="E65" s="45">
        <f t="shared" si="7"/>
        <v>6.002607663309966</v>
      </c>
      <c r="F65" s="45">
        <f t="shared" si="9"/>
        <v>100.000033629712</v>
      </c>
      <c r="G65" s="61">
        <v>48973.2</v>
      </c>
      <c r="H65" s="45">
        <f t="shared" si="8"/>
        <v>60.71814788496567</v>
      </c>
      <c r="I65" s="61">
        <v>9070.65</v>
      </c>
    </row>
    <row r="66" spans="1:9" ht="13.5" customHeight="1">
      <c r="A66" s="51" t="s">
        <v>110</v>
      </c>
      <c r="B66" s="61">
        <v>1010703.86</v>
      </c>
      <c r="C66" s="61">
        <v>385369.01</v>
      </c>
      <c r="D66" s="61">
        <v>385369.02</v>
      </c>
      <c r="E66" s="45">
        <f t="shared" si="7"/>
        <v>38.128776909984296</v>
      </c>
      <c r="F66" s="45">
        <f t="shared" si="9"/>
        <v>100.00000259491546</v>
      </c>
      <c r="G66" s="61">
        <v>364679.03</v>
      </c>
      <c r="H66" s="45">
        <f t="shared" si="8"/>
        <v>105.67347949784774</v>
      </c>
      <c r="I66" s="61">
        <v>105610.9</v>
      </c>
    </row>
    <row r="67" spans="1:9" ht="12.75">
      <c r="A67" s="2" t="s">
        <v>122</v>
      </c>
      <c r="B67" s="61">
        <v>19931.399999999998</v>
      </c>
      <c r="C67" s="61">
        <v>2951.6099999999997</v>
      </c>
      <c r="D67" s="61">
        <v>2951.6099999999997</v>
      </c>
      <c r="E67" s="45">
        <f t="shared" si="7"/>
        <v>14.80884433607273</v>
      </c>
      <c r="F67" s="45" t="s">
        <v>111</v>
      </c>
      <c r="G67" s="61">
        <v>1584.58</v>
      </c>
      <c r="H67" s="45" t="s">
        <v>111</v>
      </c>
      <c r="I67" s="61">
        <v>2745.95</v>
      </c>
    </row>
    <row r="68" spans="1:9" ht="12.75">
      <c r="A68" s="54" t="s">
        <v>113</v>
      </c>
      <c r="B68" s="61"/>
      <c r="C68" s="61"/>
      <c r="D68" s="61"/>
      <c r="E68" s="45" t="s">
        <v>112</v>
      </c>
      <c r="F68" s="45" t="s">
        <v>111</v>
      </c>
      <c r="G68" s="61">
        <v>0</v>
      </c>
      <c r="H68" s="45" t="s">
        <v>112</v>
      </c>
      <c r="I68" s="61"/>
    </row>
    <row r="69" spans="1:9" ht="25.5">
      <c r="A69" s="54" t="s">
        <v>21</v>
      </c>
      <c r="B69" s="56">
        <v>-2269.2</v>
      </c>
      <c r="C69" s="56">
        <v>-2269.2</v>
      </c>
      <c r="D69" s="56">
        <v>-2677.8099999999995</v>
      </c>
      <c r="E69" s="45" t="s">
        <v>112</v>
      </c>
      <c r="F69" s="45" t="s">
        <v>111</v>
      </c>
      <c r="G69" s="56">
        <v>-867.08</v>
      </c>
      <c r="H69" s="45">
        <f>$D:$D/$G:$G*100</f>
        <v>308.83078839322775</v>
      </c>
      <c r="I69" s="56">
        <v>-5.62</v>
      </c>
    </row>
    <row r="70" spans="1:9" ht="17.25" customHeight="1" hidden="1">
      <c r="A70" s="47" t="s">
        <v>20</v>
      </c>
      <c r="B70" s="57">
        <f>B62+B61</f>
        <v>2439081.81</v>
      </c>
      <c r="C70" s="57">
        <f>C62+C61</f>
        <v>759915.2100000002</v>
      </c>
      <c r="D70" s="57">
        <f>D62+D61</f>
        <v>758567.9299999999</v>
      </c>
      <c r="E70" s="45">
        <f>$D:$D/$B:$B*100</f>
        <v>31.10055295767221</v>
      </c>
      <c r="F70" s="45">
        <f>$D:$D/$C:$C*100</f>
        <v>99.82270653590415</v>
      </c>
      <c r="G70" s="57">
        <f>G62+G61</f>
        <v>733808.01</v>
      </c>
      <c r="H70" s="45">
        <f>$D:$D/$G:$G*100</f>
        <v>103.3741686739015</v>
      </c>
      <c r="I70" s="57">
        <f>I62+I61</f>
        <v>168089.19999999998</v>
      </c>
    </row>
    <row r="71" spans="1:9" ht="12.75">
      <c r="A71" s="47" t="s">
        <v>20</v>
      </c>
      <c r="B71" s="33">
        <f>B70</f>
        <v>2439081.81</v>
      </c>
      <c r="C71" s="33">
        <f aca="true" t="shared" si="10" ref="C71:I71">C70</f>
        <v>759915.2100000002</v>
      </c>
      <c r="D71" s="33">
        <f t="shared" si="10"/>
        <v>758567.9299999999</v>
      </c>
      <c r="E71" s="33">
        <f t="shared" si="10"/>
        <v>31.10055295767221</v>
      </c>
      <c r="F71" s="33">
        <f t="shared" si="10"/>
        <v>99.82270653590415</v>
      </c>
      <c r="G71" s="33">
        <f t="shared" si="10"/>
        <v>733808.01</v>
      </c>
      <c r="H71" s="33">
        <f t="shared" si="10"/>
        <v>103.3741686739015</v>
      </c>
      <c r="I71" s="33">
        <f t="shared" si="10"/>
        <v>168089.19999999998</v>
      </c>
    </row>
    <row r="72" spans="1:9" ht="12.75">
      <c r="A72" s="108" t="s">
        <v>22</v>
      </c>
      <c r="B72" s="109"/>
      <c r="C72" s="109"/>
      <c r="D72" s="109"/>
      <c r="E72" s="109"/>
      <c r="F72" s="109"/>
      <c r="G72" s="109"/>
      <c r="H72" s="109"/>
      <c r="I72" s="110"/>
    </row>
    <row r="73" spans="1:9" ht="12.75">
      <c r="A73" s="7" t="s">
        <v>23</v>
      </c>
      <c r="B73" s="33">
        <f>B74+B75+B76+B77+B78+B79+B80+B81</f>
        <v>135130</v>
      </c>
      <c r="C73" s="33">
        <f>C74+C75+C76+C77+C78+C79+C80+C81</f>
        <v>42779</v>
      </c>
      <c r="D73" s="33">
        <f>D74+D75+D76+D77+D78+D79+D80+D81</f>
        <v>41554.8</v>
      </c>
      <c r="E73" s="25">
        <f>$D:$D/$B:$B*100</f>
        <v>30.751720565381486</v>
      </c>
      <c r="F73" s="25">
        <f>$D:$D/$C:$C*100</f>
        <v>97.13831552864724</v>
      </c>
      <c r="G73" s="33">
        <f>G74+G75+G76+G77+G78+G79+G80+G81</f>
        <v>39596</v>
      </c>
      <c r="H73" s="25">
        <f>$D:$D/$G:$G*100</f>
        <v>104.9469643398323</v>
      </c>
      <c r="I73" s="33" t="e">
        <f>I74+I75+I76+I77+I78+I79+I80+I81</f>
        <v>#REF!</v>
      </c>
    </row>
    <row r="74" spans="1:9" ht="14.25" customHeight="1">
      <c r="A74" s="8" t="s">
        <v>24</v>
      </c>
      <c r="B74" s="34">
        <v>2230.1</v>
      </c>
      <c r="C74" s="34">
        <v>591.4</v>
      </c>
      <c r="D74" s="34">
        <v>591.4</v>
      </c>
      <c r="E74" s="28">
        <f>$D:$D/$B:$B*100</f>
        <v>26.518990179812562</v>
      </c>
      <c r="F74" s="28">
        <f>$D:$D/$C:$C*100</f>
        <v>100</v>
      </c>
      <c r="G74" s="34">
        <v>289.7</v>
      </c>
      <c r="H74" s="28">
        <f>$D:$D/$G:$G*100</f>
        <v>204.1422160856058</v>
      </c>
      <c r="I74" s="34" t="e">
        <f>D74-#REF!</f>
        <v>#REF!</v>
      </c>
    </row>
    <row r="75" spans="1:9" ht="12.75">
      <c r="A75" s="8" t="s">
        <v>25</v>
      </c>
      <c r="B75" s="34">
        <v>5806.3</v>
      </c>
      <c r="C75" s="34">
        <v>2040.5</v>
      </c>
      <c r="D75" s="34">
        <v>1700.1</v>
      </c>
      <c r="E75" s="28">
        <f>$D:$D/$B:$B*100</f>
        <v>29.28026454024077</v>
      </c>
      <c r="F75" s="28">
        <f>$D:$D/$C:$C*100</f>
        <v>83.31781426121049</v>
      </c>
      <c r="G75" s="34">
        <v>1728</v>
      </c>
      <c r="H75" s="28">
        <f>$D:$D/$G:$G*100</f>
        <v>98.38541666666666</v>
      </c>
      <c r="I75" s="34" t="e">
        <f>D75-#REF!</f>
        <v>#REF!</v>
      </c>
    </row>
    <row r="76" spans="1:9" ht="25.5">
      <c r="A76" s="8" t="s">
        <v>26</v>
      </c>
      <c r="B76" s="34">
        <v>50584.7</v>
      </c>
      <c r="C76" s="34">
        <v>17766.9</v>
      </c>
      <c r="D76" s="34">
        <v>17383.9</v>
      </c>
      <c r="E76" s="28">
        <f>$D:$D/$B:$B*100</f>
        <v>34.365924874517404</v>
      </c>
      <c r="F76" s="28">
        <f>$D:$D/$C:$C*100</f>
        <v>97.8443059847244</v>
      </c>
      <c r="G76" s="34">
        <v>15812.7</v>
      </c>
      <c r="H76" s="28">
        <f>$D:$D/$G:$G*100</f>
        <v>109.93631701101015</v>
      </c>
      <c r="I76" s="34" t="e">
        <f>D76-#REF!</f>
        <v>#REF!</v>
      </c>
    </row>
    <row r="77" spans="1:9" ht="12.75">
      <c r="A77" s="8" t="s">
        <v>72</v>
      </c>
      <c r="B77" s="41">
        <v>30.1</v>
      </c>
      <c r="C77" s="41">
        <v>30.1</v>
      </c>
      <c r="D77" s="41">
        <v>0</v>
      </c>
      <c r="E77" s="28">
        <v>0</v>
      </c>
      <c r="F77" s="28">
        <v>0</v>
      </c>
      <c r="G77" s="41">
        <v>0</v>
      </c>
      <c r="H77" s="28">
        <v>0</v>
      </c>
      <c r="I77" s="34" t="e">
        <f>D77-#REF!</f>
        <v>#REF!</v>
      </c>
    </row>
    <row r="78" spans="1:9" ht="25.5">
      <c r="A78" s="1" t="s">
        <v>27</v>
      </c>
      <c r="B78" s="27">
        <v>13022.4</v>
      </c>
      <c r="C78" s="27">
        <v>5797.9</v>
      </c>
      <c r="D78" s="27">
        <v>5457</v>
      </c>
      <c r="E78" s="28">
        <f>$D:$D/$B:$B*100</f>
        <v>41.904718024327316</v>
      </c>
      <c r="F78" s="28">
        <v>0</v>
      </c>
      <c r="G78" s="27">
        <v>4897.7</v>
      </c>
      <c r="H78" s="28">
        <f>$D:$D/$G:$G*100</f>
        <v>111.41964595626519</v>
      </c>
      <c r="I78" s="34" t="e">
        <f>D78-#REF!</f>
        <v>#REF!</v>
      </c>
    </row>
    <row r="79" spans="1:9" ht="12.75" hidden="1">
      <c r="A79" s="8" t="s">
        <v>28</v>
      </c>
      <c r="B79" s="34">
        <v>0</v>
      </c>
      <c r="C79" s="34">
        <v>0</v>
      </c>
      <c r="D79" s="34">
        <v>0</v>
      </c>
      <c r="E79" s="28">
        <v>0</v>
      </c>
      <c r="F79" s="28">
        <v>0</v>
      </c>
      <c r="G79" s="34">
        <v>0</v>
      </c>
      <c r="H79" s="28">
        <v>0</v>
      </c>
      <c r="I79" s="34" t="e">
        <f>D79-#REF!</f>
        <v>#REF!</v>
      </c>
    </row>
    <row r="80" spans="1:9" ht="12.75">
      <c r="A80" s="8" t="s">
        <v>29</v>
      </c>
      <c r="B80" s="34">
        <v>1056</v>
      </c>
      <c r="C80" s="34">
        <v>0</v>
      </c>
      <c r="D80" s="34">
        <v>0</v>
      </c>
      <c r="E80" s="28">
        <f>$D:$D/$B:$B*100</f>
        <v>0</v>
      </c>
      <c r="F80" s="28">
        <v>0</v>
      </c>
      <c r="G80" s="34">
        <v>0</v>
      </c>
      <c r="H80" s="28">
        <v>0</v>
      </c>
      <c r="I80" s="34" t="e">
        <f>D80-#REF!</f>
        <v>#REF!</v>
      </c>
    </row>
    <row r="81" spans="1:9" ht="12.75">
      <c r="A81" s="1" t="s">
        <v>30</v>
      </c>
      <c r="B81" s="34">
        <v>62400.4</v>
      </c>
      <c r="C81" s="34">
        <v>16552.2</v>
      </c>
      <c r="D81" s="34">
        <v>16422.4</v>
      </c>
      <c r="E81" s="28">
        <f>$D:$D/$B:$B*100</f>
        <v>26.317780014230678</v>
      </c>
      <c r="F81" s="28">
        <f>$D:$D/$C:$C*100</f>
        <v>99.21581421200808</v>
      </c>
      <c r="G81" s="34">
        <v>16867.9</v>
      </c>
      <c r="H81" s="28">
        <f>$D:$D/$G:$G*100</f>
        <v>97.35888877690762</v>
      </c>
      <c r="I81" s="34" t="e">
        <f>D81-#REF!</f>
        <v>#REF!</v>
      </c>
    </row>
    <row r="82" spans="1:9" ht="12.75">
      <c r="A82" s="7" t="s">
        <v>31</v>
      </c>
      <c r="B82" s="26">
        <v>377.1</v>
      </c>
      <c r="C82" s="26">
        <v>211.8</v>
      </c>
      <c r="D82" s="33">
        <v>131.1</v>
      </c>
      <c r="E82" s="25">
        <f>$D:$D/$B:$B*100</f>
        <v>34.76531424025457</v>
      </c>
      <c r="F82" s="25">
        <f>$D:$D/$C:$C*100</f>
        <v>61.89801699716714</v>
      </c>
      <c r="G82" s="33">
        <v>124.5</v>
      </c>
      <c r="H82" s="25">
        <v>0</v>
      </c>
      <c r="I82" s="33" t="e">
        <f>D82-#REF!</f>
        <v>#REF!</v>
      </c>
    </row>
    <row r="83" spans="1:9" ht="25.5">
      <c r="A83" s="9" t="s">
        <v>32</v>
      </c>
      <c r="B83" s="26">
        <v>4849.7</v>
      </c>
      <c r="C83" s="26">
        <v>1302.7</v>
      </c>
      <c r="D83" s="26">
        <v>1276.9</v>
      </c>
      <c r="E83" s="25">
        <f>$D:$D/$B:$B*100</f>
        <v>26.32946367816566</v>
      </c>
      <c r="F83" s="25">
        <f>$D:$D/$C:$C*100</f>
        <v>98.0194979657634</v>
      </c>
      <c r="G83" s="26">
        <v>1226.1</v>
      </c>
      <c r="H83" s="25">
        <f>$D:$D/$G:$G*100</f>
        <v>104.14321833455674</v>
      </c>
      <c r="I83" s="33" t="e">
        <f>D83-#REF!</f>
        <v>#REF!</v>
      </c>
    </row>
    <row r="84" spans="1:9" ht="12.75">
      <c r="A84" s="7" t="s">
        <v>33</v>
      </c>
      <c r="B84" s="33">
        <f>B85+B86+B87+B88+B89</f>
        <v>177463.99999999997</v>
      </c>
      <c r="C84" s="33">
        <f>C85+C86+C87+C88+C89</f>
        <v>25380.3</v>
      </c>
      <c r="D84" s="33">
        <f>D85+D86+D87+D88+D89</f>
        <v>21369</v>
      </c>
      <c r="E84" s="25">
        <f>$D:$D/$B:$B*100</f>
        <v>12.041315421719338</v>
      </c>
      <c r="F84" s="25">
        <f>$D:$D/$C:$C*100</f>
        <v>84.19522227869646</v>
      </c>
      <c r="G84" s="33">
        <f>G85+G86+G87+G88+G89</f>
        <v>19549.300000000003</v>
      </c>
      <c r="H84" s="25">
        <f>$D:$D/$G:$G*100</f>
        <v>109.30826167688868</v>
      </c>
      <c r="I84" s="33" t="e">
        <f>I85+I86+I87+I88+I89</f>
        <v>#REF!</v>
      </c>
    </row>
    <row r="85" spans="1:9" ht="12.75" hidden="1">
      <c r="A85" s="10" t="s">
        <v>64</v>
      </c>
      <c r="B85" s="34"/>
      <c r="C85" s="34"/>
      <c r="D85" s="34"/>
      <c r="E85" s="28">
        <v>0</v>
      </c>
      <c r="F85" s="28">
        <v>0</v>
      </c>
      <c r="G85" s="34"/>
      <c r="H85" s="28">
        <v>0</v>
      </c>
      <c r="I85" s="34" t="e">
        <f>D85-#REF!</f>
        <v>#REF!</v>
      </c>
    </row>
    <row r="86" spans="1:9" ht="12.75">
      <c r="A86" s="10" t="s">
        <v>67</v>
      </c>
      <c r="B86" s="34">
        <v>48299.2</v>
      </c>
      <c r="C86" s="34">
        <v>0</v>
      </c>
      <c r="D86" s="34">
        <v>0</v>
      </c>
      <c r="E86" s="28">
        <v>0</v>
      </c>
      <c r="F86" s="28">
        <v>0</v>
      </c>
      <c r="G86" s="34">
        <v>0</v>
      </c>
      <c r="H86" s="28">
        <v>0</v>
      </c>
      <c r="I86" s="34" t="e">
        <f>D86-#REF!</f>
        <v>#REF!</v>
      </c>
    </row>
    <row r="87" spans="1:9" ht="12.75">
      <c r="A87" s="8" t="s">
        <v>34</v>
      </c>
      <c r="B87" s="34">
        <v>24097</v>
      </c>
      <c r="C87" s="34">
        <v>7530.8</v>
      </c>
      <c r="D87" s="34">
        <v>7530.8</v>
      </c>
      <c r="E87" s="28">
        <f>$D:$D/$B:$B*100</f>
        <v>31.252023073411628</v>
      </c>
      <c r="F87" s="28">
        <v>0</v>
      </c>
      <c r="G87" s="34">
        <v>6354.8</v>
      </c>
      <c r="H87" s="28">
        <v>0</v>
      </c>
      <c r="I87" s="34" t="e">
        <f>D87-#REF!</f>
        <v>#REF!</v>
      </c>
    </row>
    <row r="88" spans="1:9" ht="12.75">
      <c r="A88" s="10" t="s">
        <v>77</v>
      </c>
      <c r="B88" s="27">
        <v>93929.4</v>
      </c>
      <c r="C88" s="27">
        <v>13972.8</v>
      </c>
      <c r="D88" s="27">
        <v>9972.8</v>
      </c>
      <c r="E88" s="28">
        <f>$D:$D/$B:$B*100</f>
        <v>10.61733599916533</v>
      </c>
      <c r="F88" s="28">
        <f>$D:$D/$C:$C*100</f>
        <v>71.37295316615138</v>
      </c>
      <c r="G88" s="27">
        <v>9391.6</v>
      </c>
      <c r="H88" s="28">
        <v>0</v>
      </c>
      <c r="I88" s="34" t="e">
        <f>D88-#REF!</f>
        <v>#REF!</v>
      </c>
    </row>
    <row r="89" spans="1:9" ht="12.75">
      <c r="A89" s="8" t="s">
        <v>35</v>
      </c>
      <c r="B89" s="34">
        <v>11138.4</v>
      </c>
      <c r="C89" s="34">
        <v>3876.7</v>
      </c>
      <c r="D89" s="34">
        <v>3865.4</v>
      </c>
      <c r="E89" s="28">
        <f>$D:$D/$B:$B*100</f>
        <v>34.70336852689794</v>
      </c>
      <c r="F89" s="28">
        <f>$D:$D/$C:$C*100</f>
        <v>99.7085149740759</v>
      </c>
      <c r="G89" s="34">
        <v>3802.9</v>
      </c>
      <c r="H89" s="28">
        <f>$D:$D/$G:$G*100</f>
        <v>101.6434826053801</v>
      </c>
      <c r="I89" s="34" t="e">
        <f>D89-#REF!</f>
        <v>#REF!</v>
      </c>
    </row>
    <row r="90" spans="1:9" ht="12.75">
      <c r="A90" s="11" t="s">
        <v>36</v>
      </c>
      <c r="B90" s="33">
        <f>B92+B93+B94+B91</f>
        <v>175247.3</v>
      </c>
      <c r="C90" s="33">
        <f>C92+C93+C94+C91</f>
        <v>19044.4</v>
      </c>
      <c r="D90" s="33">
        <f>D92+D93+D94+D91</f>
        <v>17413.100000000002</v>
      </c>
      <c r="E90" s="33">
        <f>E92+E93+E94+E91</f>
        <v>49.17013718241245</v>
      </c>
      <c r="F90" s="25">
        <f>$D:$D/$C:$C*100</f>
        <v>91.43422738442797</v>
      </c>
      <c r="G90" s="33">
        <f>G92+G93+G94+G91</f>
        <v>20081.8</v>
      </c>
      <c r="H90" s="33">
        <f>H92+H93+H94</f>
        <v>194.5212622462535</v>
      </c>
      <c r="I90" s="33" t="e">
        <f>I92+I93+I94+I91</f>
        <v>#REF!</v>
      </c>
    </row>
    <row r="91" spans="1:9" ht="12.75">
      <c r="A91" s="8" t="s">
        <v>37</v>
      </c>
      <c r="B91" s="34">
        <v>74060</v>
      </c>
      <c r="C91" s="44">
        <v>0</v>
      </c>
      <c r="D91" s="44">
        <v>0</v>
      </c>
      <c r="E91" s="43">
        <v>0</v>
      </c>
      <c r="F91" s="28">
        <v>0</v>
      </c>
      <c r="G91" s="66">
        <v>0</v>
      </c>
      <c r="H91" s="28">
        <v>0</v>
      </c>
      <c r="I91" s="34" t="e">
        <f>D91-#REF!</f>
        <v>#REF!</v>
      </c>
    </row>
    <row r="92" spans="1:9" ht="12.75">
      <c r="A92" s="8" t="s">
        <v>38</v>
      </c>
      <c r="B92" s="34">
        <v>7304.2</v>
      </c>
      <c r="C92" s="34">
        <v>1405.2</v>
      </c>
      <c r="D92" s="34">
        <v>5.2</v>
      </c>
      <c r="E92" s="28">
        <f>$D:$D/$B:$B*100</f>
        <v>0.07119191697927221</v>
      </c>
      <c r="F92" s="28">
        <v>0</v>
      </c>
      <c r="G92" s="34">
        <v>1558.4</v>
      </c>
      <c r="H92" s="28">
        <v>0</v>
      </c>
      <c r="I92" s="34" t="e">
        <f>D92-#REF!</f>
        <v>#REF!</v>
      </c>
    </row>
    <row r="93" spans="1:9" ht="12.75">
      <c r="A93" s="8" t="s">
        <v>39</v>
      </c>
      <c r="B93" s="34">
        <v>76148.1</v>
      </c>
      <c r="C93" s="34">
        <v>11543.8</v>
      </c>
      <c r="D93" s="34">
        <v>11341.7</v>
      </c>
      <c r="E93" s="28">
        <f>$D:$D/$B:$B*100</f>
        <v>14.894265254156045</v>
      </c>
      <c r="F93" s="28">
        <f>$D:$D/$C:$C*100</f>
        <v>98.24927666799496</v>
      </c>
      <c r="G93" s="34">
        <v>12793.5</v>
      </c>
      <c r="H93" s="28">
        <f>$D:$D/$G:$G*100</f>
        <v>88.65204986907415</v>
      </c>
      <c r="I93" s="34" t="e">
        <f>D93-#REF!</f>
        <v>#REF!</v>
      </c>
    </row>
    <row r="94" spans="1:9" ht="12.75">
      <c r="A94" s="8" t="s">
        <v>40</v>
      </c>
      <c r="B94" s="34">
        <v>17735</v>
      </c>
      <c r="C94" s="34">
        <v>6095.4</v>
      </c>
      <c r="D94" s="34">
        <v>6066.2</v>
      </c>
      <c r="E94" s="28">
        <f>$D:$D/$B:$B*100</f>
        <v>34.204680011277134</v>
      </c>
      <c r="F94" s="28">
        <f>$D:$D/$C:$C*100</f>
        <v>99.52095022475966</v>
      </c>
      <c r="G94" s="34">
        <v>5729.9</v>
      </c>
      <c r="H94" s="28">
        <f>$D:$D/$G:$G*100</f>
        <v>105.86921237717937</v>
      </c>
      <c r="I94" s="34" t="e">
        <f>D94-#REF!</f>
        <v>#REF!</v>
      </c>
    </row>
    <row r="95" spans="1:9" ht="12.75">
      <c r="A95" s="11" t="s">
        <v>115</v>
      </c>
      <c r="B95" s="33">
        <f aca="true" t="shared" si="11" ref="B95:I95">B96</f>
        <v>1872</v>
      </c>
      <c r="C95" s="33">
        <f t="shared" si="11"/>
        <v>0</v>
      </c>
      <c r="D95" s="33">
        <f t="shared" si="11"/>
        <v>0</v>
      </c>
      <c r="E95" s="33">
        <f t="shared" si="11"/>
        <v>0</v>
      </c>
      <c r="F95" s="33">
        <f t="shared" si="11"/>
        <v>0</v>
      </c>
      <c r="G95" s="33">
        <f t="shared" si="11"/>
        <v>0</v>
      </c>
      <c r="H95" s="33">
        <f t="shared" si="11"/>
        <v>0</v>
      </c>
      <c r="I95" s="33">
        <f t="shared" si="11"/>
        <v>0</v>
      </c>
    </row>
    <row r="96" spans="1:9" ht="25.5">
      <c r="A96" s="8" t="s">
        <v>143</v>
      </c>
      <c r="B96" s="34">
        <v>1872</v>
      </c>
      <c r="C96" s="34">
        <v>0</v>
      </c>
      <c r="D96" s="34">
        <v>0</v>
      </c>
      <c r="E96" s="28">
        <f>$D:$D/$B:$B*100</f>
        <v>0</v>
      </c>
      <c r="F96" s="28">
        <v>0</v>
      </c>
      <c r="G96" s="34">
        <v>0</v>
      </c>
      <c r="H96" s="28">
        <v>0</v>
      </c>
      <c r="I96" s="34">
        <v>0</v>
      </c>
    </row>
    <row r="97" spans="1:9" ht="12.75">
      <c r="A97" s="11" t="s">
        <v>41</v>
      </c>
      <c r="B97" s="33">
        <f>B98+B99+B100+B102+B103+B101</f>
        <v>1579439.2</v>
      </c>
      <c r="C97" s="33">
        <f>C98+C99+C100+C102+C103+C101</f>
        <v>567735.7999999999</v>
      </c>
      <c r="D97" s="33">
        <f>D98+D99+D100+D102+D103+D101</f>
        <v>554763.2000000001</v>
      </c>
      <c r="E97" s="33">
        <f>E98+E99+E102+E103+E100</f>
        <v>159.995769046852</v>
      </c>
      <c r="F97" s="33">
        <f>F98+F99+F102+F103+F100</f>
        <v>479.08892556107594</v>
      </c>
      <c r="G97" s="33">
        <f>G98+G99+G100+G102+G103+G101</f>
        <v>487789.49999999994</v>
      </c>
      <c r="H97" s="33">
        <f>H98+H99+H100+H102+H103+H101</f>
        <v>433.992226561203</v>
      </c>
      <c r="I97" s="33" t="e">
        <f>I98+I99+I100+I102+I103+I101</f>
        <v>#REF!</v>
      </c>
    </row>
    <row r="98" spans="1:9" ht="12.75">
      <c r="A98" s="8" t="s">
        <v>42</v>
      </c>
      <c r="B98" s="34">
        <v>612962.6</v>
      </c>
      <c r="C98" s="34">
        <v>214753.4</v>
      </c>
      <c r="D98" s="34">
        <v>209802.5</v>
      </c>
      <c r="E98" s="28">
        <f aca="true" t="shared" si="12" ref="E98:E110">$D:$D/$B:$B*100</f>
        <v>34.227618455024825</v>
      </c>
      <c r="F98" s="28">
        <f aca="true" t="shared" si="13" ref="F98:F106">$D:$D/$C:$C*100</f>
        <v>97.69461158705754</v>
      </c>
      <c r="G98" s="34">
        <v>199209.3</v>
      </c>
      <c r="H98" s="28">
        <f>$D:$D/$G:$G*100</f>
        <v>105.31762322341378</v>
      </c>
      <c r="I98" s="34" t="e">
        <f>D98-#REF!</f>
        <v>#REF!</v>
      </c>
    </row>
    <row r="99" spans="1:9" ht="12.75">
      <c r="A99" s="8" t="s">
        <v>43</v>
      </c>
      <c r="B99" s="34">
        <v>627529.2</v>
      </c>
      <c r="C99" s="34">
        <v>235276.2</v>
      </c>
      <c r="D99" s="34">
        <v>232187.2</v>
      </c>
      <c r="E99" s="28">
        <f t="shared" si="12"/>
        <v>37.00022245976761</v>
      </c>
      <c r="F99" s="28">
        <f t="shared" si="13"/>
        <v>98.68707502076283</v>
      </c>
      <c r="G99" s="34">
        <v>192866.9</v>
      </c>
      <c r="H99" s="28">
        <f>$D:$D/$G:$G*100</f>
        <v>120.38727225874426</v>
      </c>
      <c r="I99" s="34" t="e">
        <f>D99-#REF!</f>
        <v>#REF!</v>
      </c>
    </row>
    <row r="100" spans="1:9" ht="12.75">
      <c r="A100" s="8" t="s">
        <v>105</v>
      </c>
      <c r="B100" s="34">
        <v>123968.2</v>
      </c>
      <c r="C100" s="34">
        <v>54476.9</v>
      </c>
      <c r="D100" s="34">
        <v>52505.4</v>
      </c>
      <c r="E100" s="28">
        <f t="shared" si="12"/>
        <v>42.35392624882833</v>
      </c>
      <c r="F100" s="28">
        <f t="shared" si="13"/>
        <v>96.38103489736017</v>
      </c>
      <c r="G100" s="34">
        <v>41561.8</v>
      </c>
      <c r="H100" s="28">
        <v>0</v>
      </c>
      <c r="I100" s="34" t="e">
        <f>D100-#REF!</f>
        <v>#REF!</v>
      </c>
    </row>
    <row r="101" spans="1:9" ht="25.5" customHeight="1">
      <c r="A101" s="8" t="s">
        <v>123</v>
      </c>
      <c r="B101" s="34">
        <v>1624.6</v>
      </c>
      <c r="C101" s="34">
        <v>1010.7</v>
      </c>
      <c r="D101" s="34">
        <v>584.3</v>
      </c>
      <c r="E101" s="28">
        <f t="shared" si="12"/>
        <v>35.96577619106242</v>
      </c>
      <c r="F101" s="28">
        <f t="shared" si="13"/>
        <v>57.81141782922726</v>
      </c>
      <c r="G101" s="34">
        <v>0</v>
      </c>
      <c r="H101" s="28">
        <v>0</v>
      </c>
      <c r="I101" s="34" t="e">
        <f>D101-#REF!</f>
        <v>#REF!</v>
      </c>
    </row>
    <row r="102" spans="1:9" ht="12.75">
      <c r="A102" s="8" t="s">
        <v>44</v>
      </c>
      <c r="B102" s="34">
        <v>60533</v>
      </c>
      <c r="C102" s="34">
        <v>8251.3</v>
      </c>
      <c r="D102" s="34">
        <v>7376.9</v>
      </c>
      <c r="E102" s="28">
        <f t="shared" si="12"/>
        <v>12.186575917268266</v>
      </c>
      <c r="F102" s="28">
        <f t="shared" si="13"/>
        <v>89.4028819701138</v>
      </c>
      <c r="G102" s="34">
        <v>7712.2</v>
      </c>
      <c r="H102" s="28">
        <f>$D:$D/$G:$G*100</f>
        <v>95.65234304089624</v>
      </c>
      <c r="I102" s="34" t="e">
        <f>D102-#REF!</f>
        <v>#REF!</v>
      </c>
    </row>
    <row r="103" spans="1:9" ht="12.75">
      <c r="A103" s="8" t="s">
        <v>45</v>
      </c>
      <c r="B103" s="34">
        <v>152821.6</v>
      </c>
      <c r="C103" s="34">
        <v>53967.3</v>
      </c>
      <c r="D103" s="27">
        <v>52306.9</v>
      </c>
      <c r="E103" s="28">
        <f t="shared" si="12"/>
        <v>34.22742596596293</v>
      </c>
      <c r="F103" s="28">
        <f t="shared" si="13"/>
        <v>96.92332208578158</v>
      </c>
      <c r="G103" s="27">
        <v>46439.3</v>
      </c>
      <c r="H103" s="28">
        <f>$D:$D/$G:$G*100</f>
        <v>112.6349880381487</v>
      </c>
      <c r="I103" s="34" t="e">
        <f>D103-#REF!</f>
        <v>#REF!</v>
      </c>
    </row>
    <row r="104" spans="1:9" ht="25.5">
      <c r="A104" s="11" t="s">
        <v>46</v>
      </c>
      <c r="B104" s="33">
        <f>B105+B106</f>
        <v>198729.80000000002</v>
      </c>
      <c r="C104" s="33">
        <f>C105+C106</f>
        <v>43678</v>
      </c>
      <c r="D104" s="33">
        <f>D105+D106</f>
        <v>43615.5</v>
      </c>
      <c r="E104" s="25">
        <f t="shared" si="12"/>
        <v>21.947136262402516</v>
      </c>
      <c r="F104" s="25">
        <f t="shared" si="13"/>
        <v>99.85690736755346</v>
      </c>
      <c r="G104" s="33">
        <f>G105+G106</f>
        <v>40047.299999999996</v>
      </c>
      <c r="H104" s="25">
        <f>$D:$D/$G:$G*100</f>
        <v>108.90996396760832</v>
      </c>
      <c r="I104" s="33" t="e">
        <f>I105+I106</f>
        <v>#REF!</v>
      </c>
    </row>
    <row r="105" spans="1:9" ht="12.75">
      <c r="A105" s="8" t="s">
        <v>47</v>
      </c>
      <c r="B105" s="34">
        <v>188990.2</v>
      </c>
      <c r="C105" s="34">
        <v>41751.1</v>
      </c>
      <c r="D105" s="34">
        <v>41720.5</v>
      </c>
      <c r="E105" s="28">
        <f t="shared" si="12"/>
        <v>22.075483279027164</v>
      </c>
      <c r="F105" s="28">
        <f t="shared" si="13"/>
        <v>99.92670851785941</v>
      </c>
      <c r="G105" s="34">
        <v>39098.7</v>
      </c>
      <c r="H105" s="28">
        <f>$D:$D/$G:$G*100</f>
        <v>106.70559379212096</v>
      </c>
      <c r="I105" s="34" t="e">
        <f>D105-#REF!</f>
        <v>#REF!</v>
      </c>
    </row>
    <row r="106" spans="1:9" ht="25.5">
      <c r="A106" s="8" t="s">
        <v>48</v>
      </c>
      <c r="B106" s="34">
        <v>9739.6</v>
      </c>
      <c r="C106" s="34">
        <v>1926.9</v>
      </c>
      <c r="D106" s="34">
        <v>1895</v>
      </c>
      <c r="E106" s="28">
        <f t="shared" si="12"/>
        <v>19.45665119717442</v>
      </c>
      <c r="F106" s="28">
        <f t="shared" si="13"/>
        <v>98.34449115159063</v>
      </c>
      <c r="G106" s="34">
        <v>948.6</v>
      </c>
      <c r="H106" s="28">
        <v>0</v>
      </c>
      <c r="I106" s="34" t="e">
        <f>D106-#REF!</f>
        <v>#REF!</v>
      </c>
    </row>
    <row r="107" spans="1:9" ht="12.75">
      <c r="A107" s="11" t="s">
        <v>97</v>
      </c>
      <c r="B107" s="33">
        <f>B108</f>
        <v>42.5</v>
      </c>
      <c r="C107" s="33">
        <f>C108</f>
        <v>42.5</v>
      </c>
      <c r="D107" s="33">
        <f>D108</f>
        <v>4.5</v>
      </c>
      <c r="E107" s="25">
        <f t="shared" si="12"/>
        <v>10.588235294117647</v>
      </c>
      <c r="F107" s="25">
        <v>0</v>
      </c>
      <c r="G107" s="33">
        <f>G108</f>
        <v>4.6</v>
      </c>
      <c r="H107" s="25">
        <v>0</v>
      </c>
      <c r="I107" s="33" t="e">
        <f>D107-#REF!</f>
        <v>#REF!</v>
      </c>
    </row>
    <row r="108" spans="1:9" ht="12.75">
      <c r="A108" s="8" t="s">
        <v>98</v>
      </c>
      <c r="B108" s="34">
        <v>42.5</v>
      </c>
      <c r="C108" s="34">
        <v>42.5</v>
      </c>
      <c r="D108" s="34">
        <v>4.5</v>
      </c>
      <c r="E108" s="28">
        <f t="shared" si="12"/>
        <v>10.588235294117647</v>
      </c>
      <c r="F108" s="28">
        <v>0</v>
      </c>
      <c r="G108" s="34">
        <v>4.6</v>
      </c>
      <c r="H108" s="28">
        <v>0</v>
      </c>
      <c r="I108" s="34" t="e">
        <f>D108-#REF!</f>
        <v>#REF!</v>
      </c>
    </row>
    <row r="109" spans="1:9" ht="12.75">
      <c r="A109" s="11" t="s">
        <v>49</v>
      </c>
      <c r="B109" s="33">
        <f>B110+B111+B112+B113+B114</f>
        <v>129246.9</v>
      </c>
      <c r="C109" s="33">
        <f>C110+C111+C112+C113+C114</f>
        <v>48769</v>
      </c>
      <c r="D109" s="33">
        <f>D110+D111+D112+D113+D114</f>
        <v>19819.4</v>
      </c>
      <c r="E109" s="25">
        <f t="shared" si="12"/>
        <v>15.334526398698925</v>
      </c>
      <c r="F109" s="25">
        <f>$D:$D/$C:$C*100</f>
        <v>40.63934056470299</v>
      </c>
      <c r="G109" s="33">
        <f>G110+G111+G112+G113+G114</f>
        <v>53031.5</v>
      </c>
      <c r="H109" s="25">
        <v>0</v>
      </c>
      <c r="I109" s="33" t="e">
        <f>D109-#REF!</f>
        <v>#REF!</v>
      </c>
    </row>
    <row r="110" spans="1:9" ht="12.75">
      <c r="A110" s="8" t="s">
        <v>50</v>
      </c>
      <c r="B110" s="34">
        <v>2000</v>
      </c>
      <c r="C110" s="34">
        <v>639.4</v>
      </c>
      <c r="D110" s="34">
        <v>639.4</v>
      </c>
      <c r="E110" s="28">
        <f t="shared" si="12"/>
        <v>31.97</v>
      </c>
      <c r="F110" s="28">
        <v>0</v>
      </c>
      <c r="G110" s="34">
        <v>523.3</v>
      </c>
      <c r="H110" s="28">
        <v>0</v>
      </c>
      <c r="I110" s="34" t="e">
        <f>D110-#REF!</f>
        <v>#REF!</v>
      </c>
    </row>
    <row r="111" spans="1:9" ht="12.75">
      <c r="A111" s="8" t="s">
        <v>51</v>
      </c>
      <c r="B111" s="34">
        <v>0</v>
      </c>
      <c r="C111" s="34">
        <v>0</v>
      </c>
      <c r="D111" s="34">
        <v>0</v>
      </c>
      <c r="E111" s="28">
        <v>0</v>
      </c>
      <c r="F111" s="28">
        <v>0</v>
      </c>
      <c r="G111" s="34">
        <v>23857.5</v>
      </c>
      <c r="H111" s="28">
        <f>$D:$D/$G:$G*100</f>
        <v>0</v>
      </c>
      <c r="I111" s="34" t="e">
        <f>D111-#REF!</f>
        <v>#REF!</v>
      </c>
    </row>
    <row r="112" spans="1:9" ht="12.75">
      <c r="A112" s="8" t="s">
        <v>52</v>
      </c>
      <c r="B112" s="34">
        <v>39361.3</v>
      </c>
      <c r="C112" s="34">
        <v>17677</v>
      </c>
      <c r="D112" s="34">
        <v>16332.5</v>
      </c>
      <c r="E112" s="28">
        <f>$D:$D/$B:$B*100</f>
        <v>41.49380228803418</v>
      </c>
      <c r="F112" s="28">
        <f>$D:$D/$C:$C*100</f>
        <v>92.39407139220455</v>
      </c>
      <c r="G112" s="34">
        <v>13392.7</v>
      </c>
      <c r="H112" s="28">
        <v>0</v>
      </c>
      <c r="I112" s="34" t="e">
        <f>D112-#REF!</f>
        <v>#REF!</v>
      </c>
    </row>
    <row r="113" spans="1:9" ht="12.75">
      <c r="A113" s="8" t="s">
        <v>53</v>
      </c>
      <c r="B113" s="27">
        <v>85451.4</v>
      </c>
      <c r="C113" s="27">
        <v>29079.4</v>
      </c>
      <c r="D113" s="27">
        <v>1900.3</v>
      </c>
      <c r="E113" s="28">
        <f>$D:$D/$B:$B*100</f>
        <v>2.2238371752832604</v>
      </c>
      <c r="F113" s="28">
        <v>0</v>
      </c>
      <c r="G113" s="27">
        <v>1983.2</v>
      </c>
      <c r="H113" s="28">
        <v>0</v>
      </c>
      <c r="I113" s="34" t="e">
        <f>D113-#REF!</f>
        <v>#REF!</v>
      </c>
    </row>
    <row r="114" spans="1:9" ht="12.75">
      <c r="A114" s="8" t="s">
        <v>54</v>
      </c>
      <c r="B114" s="34">
        <v>2434.2</v>
      </c>
      <c r="C114" s="34">
        <v>1373.2</v>
      </c>
      <c r="D114" s="34">
        <v>947.2</v>
      </c>
      <c r="E114" s="28">
        <f>$D:$D/$B:$B*100</f>
        <v>38.912168268835764</v>
      </c>
      <c r="F114" s="28">
        <f>$D:$D/$C:$C*100</f>
        <v>68.97757063792601</v>
      </c>
      <c r="G114" s="34">
        <v>13274.8</v>
      </c>
      <c r="H114" s="28">
        <f>$D:$D/$G:$G*100</f>
        <v>7.135324072679062</v>
      </c>
      <c r="I114" s="34" t="e">
        <f>D114-#REF!</f>
        <v>#REF!</v>
      </c>
    </row>
    <row r="115" spans="1:9" ht="12.75">
      <c r="A115" s="11" t="s">
        <v>61</v>
      </c>
      <c r="B115" s="26">
        <f>B116+B117+B118</f>
        <v>69859.90000000001</v>
      </c>
      <c r="C115" s="26">
        <f>C116+C117+C118</f>
        <v>25310.500000000004</v>
      </c>
      <c r="D115" s="26">
        <f>D116+D117+D118</f>
        <v>25277.9</v>
      </c>
      <c r="E115" s="25">
        <f>$D:$D/$B:$B*100</f>
        <v>36.183704814922436</v>
      </c>
      <c r="F115" s="25">
        <f>$D:$D/$C:$C*100</f>
        <v>99.87119969972935</v>
      </c>
      <c r="G115" s="26">
        <f>G116+G117+G118</f>
        <v>24477.399999999998</v>
      </c>
      <c r="H115" s="25">
        <f>$D:$D/$G:$G*100</f>
        <v>103.27036368241727</v>
      </c>
      <c r="I115" s="33" t="e">
        <f>D115-#REF!</f>
        <v>#REF!</v>
      </c>
    </row>
    <row r="116" spans="1:9" ht="16.5" customHeight="1">
      <c r="A116" s="39" t="s">
        <v>62</v>
      </c>
      <c r="B116" s="27">
        <v>59740.3</v>
      </c>
      <c r="C116" s="27">
        <v>22651.4</v>
      </c>
      <c r="D116" s="27">
        <v>22651.4</v>
      </c>
      <c r="E116" s="28">
        <f>$D:$D/$B:$B*100</f>
        <v>37.916448360654364</v>
      </c>
      <c r="F116" s="28">
        <f>$D:$D/$C:$C*100</f>
        <v>100</v>
      </c>
      <c r="G116" s="27">
        <v>22009.2</v>
      </c>
      <c r="H116" s="28">
        <v>0</v>
      </c>
      <c r="I116" s="34" t="e">
        <f>D116-#REF!</f>
        <v>#REF!</v>
      </c>
    </row>
    <row r="117" spans="1:9" ht="16.5" customHeight="1">
      <c r="A117" s="12" t="s">
        <v>63</v>
      </c>
      <c r="B117" s="27">
        <v>6556.6</v>
      </c>
      <c r="C117" s="27">
        <v>1375.7</v>
      </c>
      <c r="D117" s="27">
        <v>1365.4</v>
      </c>
      <c r="E117" s="28">
        <v>0</v>
      </c>
      <c r="F117" s="28">
        <v>0</v>
      </c>
      <c r="G117" s="27">
        <v>1219.1</v>
      </c>
      <c r="H117" s="28">
        <v>0</v>
      </c>
      <c r="I117" s="34" t="e">
        <f>D117-#REF!</f>
        <v>#REF!</v>
      </c>
    </row>
    <row r="118" spans="1:9" ht="27.75" customHeight="1">
      <c r="A118" s="12" t="s">
        <v>73</v>
      </c>
      <c r="B118" s="27">
        <v>3563</v>
      </c>
      <c r="C118" s="27">
        <v>1283.4</v>
      </c>
      <c r="D118" s="27">
        <v>1261.1</v>
      </c>
      <c r="E118" s="28">
        <f>$D:$D/$B:$B*100</f>
        <v>35.39433062026382</v>
      </c>
      <c r="F118" s="28">
        <f>$D:$D/$C:$C*100</f>
        <v>98.26242792582201</v>
      </c>
      <c r="G118" s="27">
        <v>1249.1</v>
      </c>
      <c r="H118" s="28">
        <v>0</v>
      </c>
      <c r="I118" s="34" t="e">
        <f>D118-#REF!</f>
        <v>#REF!</v>
      </c>
    </row>
    <row r="119" spans="1:9" ht="26.25" customHeight="1">
      <c r="A119" s="13" t="s">
        <v>80</v>
      </c>
      <c r="B119" s="26">
        <f>B120</f>
        <v>200</v>
      </c>
      <c r="C119" s="26">
        <f>C120</f>
        <v>0.1</v>
      </c>
      <c r="D119" s="26">
        <f>D120</f>
        <v>0.1</v>
      </c>
      <c r="E119" s="28">
        <f>$D:$D/$B:$B*100</f>
        <v>0.05</v>
      </c>
      <c r="F119" s="28">
        <v>0</v>
      </c>
      <c r="G119" s="26">
        <f>G120</f>
        <v>0</v>
      </c>
      <c r="H119" s="28">
        <v>0</v>
      </c>
      <c r="I119" s="34" t="e">
        <f>D119-#REF!</f>
        <v>#REF!</v>
      </c>
    </row>
    <row r="120" spans="1:9" ht="27.75" customHeight="1">
      <c r="A120" s="12" t="s">
        <v>81</v>
      </c>
      <c r="B120" s="27">
        <v>200</v>
      </c>
      <c r="C120" s="27">
        <v>0.1</v>
      </c>
      <c r="D120" s="27">
        <v>0.1</v>
      </c>
      <c r="E120" s="28">
        <f>$D:$D/$B:$B*100</f>
        <v>0.05</v>
      </c>
      <c r="F120" s="28">
        <v>0</v>
      </c>
      <c r="G120" s="27">
        <v>0</v>
      </c>
      <c r="H120" s="28">
        <v>0</v>
      </c>
      <c r="I120" s="34" t="e">
        <f>D120-#REF!</f>
        <v>#REF!</v>
      </c>
    </row>
    <row r="121" spans="1:9" ht="18.75" customHeight="1">
      <c r="A121" s="72" t="s">
        <v>55</v>
      </c>
      <c r="B121" s="70">
        <f>B73+B82+B83+B84+B90+B97+B104+B107+B109+B115+B119+B95</f>
        <v>2472458.3999999994</v>
      </c>
      <c r="C121" s="70">
        <f>C73+C82+C83+C84+C90+C97+C104+C107+C109+C115+C119+C95</f>
        <v>774254.1</v>
      </c>
      <c r="D121" s="70">
        <f>D73+D82+D83+D84+D90+D97+D104+D107+D109+D115+D119+D95</f>
        <v>725225.5000000001</v>
      </c>
      <c r="E121" s="73">
        <f>$D:$D/$B:$B*100</f>
        <v>29.332161867718394</v>
      </c>
      <c r="F121" s="73">
        <f>$D:$D/$C:$C*100</f>
        <v>93.6676344368083</v>
      </c>
      <c r="G121" s="70">
        <f>G73+G84+G90+G97+G104+G107+G109+G115+G119+G82+G83</f>
        <v>685928</v>
      </c>
      <c r="H121" s="73">
        <f>$D:$D/$G:$G*100</f>
        <v>105.7290998472143</v>
      </c>
      <c r="I121" s="70" t="e">
        <f>I73+I82+I83+I84+I90+I97+I104+I107+I109+I115+I119+I95</f>
        <v>#REF!</v>
      </c>
    </row>
    <row r="122" spans="1:9" ht="17.25" customHeight="1">
      <c r="A122" s="71" t="s">
        <v>56</v>
      </c>
      <c r="B122" s="70">
        <f>B71-B121</f>
        <v>-33376.589999999385</v>
      </c>
      <c r="C122" s="70">
        <f>C71-C121</f>
        <v>-14338.889999999781</v>
      </c>
      <c r="D122" s="70">
        <f>D71-D121</f>
        <v>33342.42999999982</v>
      </c>
      <c r="E122" s="70">
        <f>E71-E121</f>
        <v>1.7683910899538162</v>
      </c>
      <c r="F122" s="70"/>
      <c r="G122" s="70">
        <f>G71-G121</f>
        <v>47880.01000000001</v>
      </c>
      <c r="H122" s="70"/>
      <c r="I122" s="70" t="e">
        <f>D122-#REF!</f>
        <v>#REF!</v>
      </c>
    </row>
    <row r="123" spans="1:9" ht="24" customHeight="1">
      <c r="A123" s="1" t="s">
        <v>57</v>
      </c>
      <c r="B123" s="27" t="s">
        <v>124</v>
      </c>
      <c r="C123" s="27"/>
      <c r="D123" s="27" t="s">
        <v>144</v>
      </c>
      <c r="E123" s="27"/>
      <c r="F123" s="27"/>
      <c r="G123" s="27"/>
      <c r="H123" s="26"/>
      <c r="I123" s="34"/>
    </row>
    <row r="124" spans="1:9" ht="12.75">
      <c r="A124" s="3" t="s">
        <v>58</v>
      </c>
      <c r="B124" s="26" t="e">
        <f>B126+B127</f>
        <v>#REF!</v>
      </c>
      <c r="C124" s="26">
        <f aca="true" t="shared" si="14" ref="C124:H124">C126+C127</f>
        <v>0</v>
      </c>
      <c r="D124" s="26">
        <f>D126+D127</f>
        <v>45134</v>
      </c>
      <c r="E124" s="26">
        <f t="shared" si="14"/>
        <v>0</v>
      </c>
      <c r="F124" s="26">
        <f t="shared" si="14"/>
        <v>0</v>
      </c>
      <c r="G124" s="26">
        <f t="shared" si="14"/>
        <v>0</v>
      </c>
      <c r="H124" s="26">
        <f t="shared" si="14"/>
        <v>0</v>
      </c>
      <c r="I124" s="70" t="e">
        <f>D124-#REF!</f>
        <v>#REF!</v>
      </c>
    </row>
    <row r="125" spans="1:9" ht="12" customHeight="1">
      <c r="A125" s="1" t="s">
        <v>6</v>
      </c>
      <c r="B125" s="27"/>
      <c r="C125" s="27"/>
      <c r="D125" s="27"/>
      <c r="E125" s="27"/>
      <c r="F125" s="27"/>
      <c r="G125" s="27"/>
      <c r="H125" s="35"/>
      <c r="I125" s="74" t="e">
        <f>D125-#REF!</f>
        <v>#REF!</v>
      </c>
    </row>
    <row r="126" spans="1:9" ht="12.75">
      <c r="A126" s="5" t="s">
        <v>59</v>
      </c>
      <c r="B126" s="27" t="e">
        <f>#REF!</f>
        <v>#REF!</v>
      </c>
      <c r="C126" s="27"/>
      <c r="D126" s="27">
        <v>25553</v>
      </c>
      <c r="E126" s="27"/>
      <c r="F126" s="27"/>
      <c r="G126" s="27"/>
      <c r="H126" s="35"/>
      <c r="I126" s="74" t="e">
        <f>D126-#REF!</f>
        <v>#REF!</v>
      </c>
    </row>
    <row r="127" spans="1:9" ht="12.75">
      <c r="A127" s="1" t="s">
        <v>60</v>
      </c>
      <c r="B127" s="27" t="e">
        <f>#REF!</f>
        <v>#REF!</v>
      </c>
      <c r="C127" s="27"/>
      <c r="D127" s="27">
        <v>19581</v>
      </c>
      <c r="E127" s="27"/>
      <c r="F127" s="27"/>
      <c r="G127" s="27"/>
      <c r="H127" s="35"/>
      <c r="I127" s="74" t="e">
        <f>D127-#REF!</f>
        <v>#REF!</v>
      </c>
    </row>
    <row r="128" spans="1:9" ht="12.75">
      <c r="A128" s="3" t="s">
        <v>99</v>
      </c>
      <c r="B128" s="38">
        <f>B129+B130</f>
        <v>0</v>
      </c>
      <c r="C128" s="38"/>
      <c r="D128" s="38">
        <v>0</v>
      </c>
      <c r="E128" s="38"/>
      <c r="F128" s="38"/>
      <c r="G128" s="38"/>
      <c r="H128" s="40"/>
      <c r="I128" s="74" t="e">
        <f>D128-#REF!</f>
        <v>#REF!</v>
      </c>
    </row>
    <row r="129" spans="1:9" ht="12.75">
      <c r="A129" s="2" t="s">
        <v>100</v>
      </c>
      <c r="B129" s="36">
        <v>0</v>
      </c>
      <c r="C129" s="36"/>
      <c r="D129" s="36">
        <v>0</v>
      </c>
      <c r="E129" s="36"/>
      <c r="F129" s="36"/>
      <c r="G129" s="36"/>
      <c r="H129" s="37"/>
      <c r="I129" s="74" t="e">
        <f>D129-#REF!</f>
        <v>#REF!</v>
      </c>
    </row>
    <row r="130" spans="1:9" ht="12.75">
      <c r="A130" s="2" t="s">
        <v>101</v>
      </c>
      <c r="B130" s="36">
        <v>0</v>
      </c>
      <c r="C130" s="36"/>
      <c r="D130" s="36">
        <v>0</v>
      </c>
      <c r="E130" s="36"/>
      <c r="F130" s="36"/>
      <c r="G130" s="36"/>
      <c r="H130" s="37"/>
      <c r="I130" s="74" t="e">
        <f>D130-#REF!</f>
        <v>#REF!</v>
      </c>
    </row>
    <row r="131" spans="1:9" ht="12.75">
      <c r="A131" s="15"/>
      <c r="B131" s="24"/>
      <c r="C131" s="24"/>
      <c r="D131" s="24"/>
      <c r="E131" s="24"/>
      <c r="F131" s="24"/>
      <c r="G131" s="24"/>
      <c r="H131" s="24"/>
      <c r="I131" s="24"/>
    </row>
    <row r="133" ht="12" customHeight="1">
      <c r="A133" s="21" t="s">
        <v>79</v>
      </c>
    </row>
    <row r="134" ht="12.75" customHeight="1" hidden="1"/>
    <row r="136" spans="1:9" ht="31.5">
      <c r="A136" s="67" t="s">
        <v>139</v>
      </c>
      <c r="C136" s="23" t="s">
        <v>140</v>
      </c>
      <c r="D136" s="23"/>
      <c r="E136" s="23"/>
      <c r="F136" s="23"/>
      <c r="G136" s="23"/>
      <c r="H136" s="23"/>
      <c r="I136" s="24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1"/>
  <sheetViews>
    <sheetView zoomScalePageLayoutView="0" workbookViewId="0" topLeftCell="A1">
      <pane xSplit="1" ySplit="6" topLeftCell="B1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31" sqref="D131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22" customWidth="1"/>
    <col min="8" max="8" width="11.875" style="22" customWidth="1"/>
    <col min="9" max="9" width="10.00390625" style="22" customWidth="1"/>
    <col min="10" max="16384" width="9.125" style="21" customWidth="1"/>
  </cols>
  <sheetData>
    <row r="1" spans="1:9" ht="15">
      <c r="A1" s="111" t="s">
        <v>102</v>
      </c>
      <c r="B1" s="111"/>
      <c r="C1" s="111"/>
      <c r="D1" s="111"/>
      <c r="E1" s="111"/>
      <c r="F1" s="111"/>
      <c r="G1" s="111"/>
      <c r="H1" s="111"/>
      <c r="I1" s="29"/>
    </row>
    <row r="2" spans="1:9" ht="15">
      <c r="A2" s="112" t="s">
        <v>153</v>
      </c>
      <c r="B2" s="112"/>
      <c r="C2" s="112"/>
      <c r="D2" s="112"/>
      <c r="E2" s="112"/>
      <c r="F2" s="112"/>
      <c r="G2" s="112"/>
      <c r="H2" s="112"/>
      <c r="I2" s="30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1"/>
    </row>
    <row r="4" spans="1:9" ht="45" customHeight="1">
      <c r="A4" s="4" t="s">
        <v>1</v>
      </c>
      <c r="B4" s="17" t="s">
        <v>2</v>
      </c>
      <c r="C4" s="17" t="s">
        <v>151</v>
      </c>
      <c r="D4" s="17" t="s">
        <v>68</v>
      </c>
      <c r="E4" s="17" t="s">
        <v>66</v>
      </c>
      <c r="F4" s="17" t="s">
        <v>69</v>
      </c>
      <c r="G4" s="17" t="s">
        <v>156</v>
      </c>
      <c r="H4" s="18" t="s">
        <v>65</v>
      </c>
      <c r="I4" s="17" t="s">
        <v>71</v>
      </c>
    </row>
    <row r="5" spans="1:9" ht="13.5" thickBot="1">
      <c r="A5" s="6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20">
        <v>8</v>
      </c>
      <c r="I5" s="32">
        <v>9</v>
      </c>
    </row>
    <row r="6" spans="1:9" ht="12.75">
      <c r="A6" s="114" t="s">
        <v>3</v>
      </c>
      <c r="B6" s="115"/>
      <c r="C6" s="115"/>
      <c r="D6" s="115"/>
      <c r="E6" s="115"/>
      <c r="F6" s="115"/>
      <c r="G6" s="115"/>
      <c r="H6" s="115"/>
      <c r="I6" s="116"/>
    </row>
    <row r="7" spans="1:9" ht="12.75">
      <c r="A7" s="46" t="s">
        <v>104</v>
      </c>
      <c r="B7" s="33">
        <f>B8+B16+B21+B26+B29+B37+B46+B47+B48+B52+B63</f>
        <v>718032.66</v>
      </c>
      <c r="C7" s="33">
        <f>C8+C16+C21+C26+C29+C37+C46+C47+C48+C52+C63</f>
        <v>53136.369999999995</v>
      </c>
      <c r="D7" s="33">
        <f>D8+D16+D21+D26+D29+D37+D46+D47+D48+D52+D63+D36</f>
        <v>27281.94</v>
      </c>
      <c r="E7" s="25">
        <f>D7/B7*100</f>
        <v>3.799540260466703</v>
      </c>
      <c r="F7" s="25">
        <v>27699.089999999997</v>
      </c>
      <c r="G7" s="33">
        <f>G8+G16+G21+G26+G29</f>
        <v>30541.34192</v>
      </c>
      <c r="H7" s="25">
        <f>C7/G7*100</f>
        <v>173.98177899054147</v>
      </c>
      <c r="I7" s="33">
        <f>D7-Январь!D7</f>
        <v>1408.8400000000038</v>
      </c>
    </row>
    <row r="8" spans="1:9" ht="12.75">
      <c r="A8" s="47" t="s">
        <v>4</v>
      </c>
      <c r="B8" s="25">
        <f>B9+B10</f>
        <v>365325.60000000003</v>
      </c>
      <c r="C8" s="25">
        <f>C9+C10</f>
        <v>26555</v>
      </c>
      <c r="D8" s="25">
        <f>D9+D10</f>
        <v>16037.699999999999</v>
      </c>
      <c r="E8" s="25">
        <f aca="true" t="shared" si="0" ref="E8:E72">D8/B8*100</f>
        <v>4.38997431332488</v>
      </c>
      <c r="F8" s="25">
        <v>10645.39</v>
      </c>
      <c r="G8" s="25">
        <f>G9+G10</f>
        <v>16918.55102</v>
      </c>
      <c r="H8" s="25">
        <f aca="true" t="shared" si="1" ref="H8:H72">C8/G8*100</f>
        <v>156.95788586509815</v>
      </c>
      <c r="I8" s="33">
        <f>D8-Январь!D8</f>
        <v>-2660.620000000001</v>
      </c>
    </row>
    <row r="9" spans="1:9" ht="25.5">
      <c r="A9" s="48" t="s">
        <v>5</v>
      </c>
      <c r="B9" s="27">
        <v>8631</v>
      </c>
      <c r="C9" s="27">
        <v>550</v>
      </c>
      <c r="D9" s="27">
        <v>390.19</v>
      </c>
      <c r="E9" s="27">
        <f t="shared" si="0"/>
        <v>4.520797126636543</v>
      </c>
      <c r="F9" s="25">
        <v>200.86</v>
      </c>
      <c r="G9" s="27">
        <f>506536.75/1000</f>
        <v>506.53675</v>
      </c>
      <c r="H9" s="25">
        <f t="shared" si="1"/>
        <v>108.58047318383119</v>
      </c>
      <c r="I9" s="33">
        <f>D9-Январь!D9</f>
        <v>-150.05</v>
      </c>
    </row>
    <row r="10" spans="1:9" ht="12.75" customHeight="1">
      <c r="A10" s="49" t="s">
        <v>70</v>
      </c>
      <c r="B10" s="42">
        <f>SUM(B11:B15)</f>
        <v>356694.60000000003</v>
      </c>
      <c r="C10" s="42">
        <f>SUM(C11:C15)</f>
        <v>26005</v>
      </c>
      <c r="D10" s="42">
        <f>SUM(D11:D15)</f>
        <v>15647.509999999998</v>
      </c>
      <c r="E10" s="25">
        <f t="shared" si="0"/>
        <v>4.38680877142519</v>
      </c>
      <c r="F10" s="25">
        <v>10444.529999999999</v>
      </c>
      <c r="G10" s="42">
        <f>SUM(G11:G15)</f>
        <v>16412.01427</v>
      </c>
      <c r="H10" s="25">
        <f t="shared" si="1"/>
        <v>158.45099554620361</v>
      </c>
      <c r="I10" s="33">
        <f>D10-Январь!D10</f>
        <v>-2510.5699999999997</v>
      </c>
    </row>
    <row r="11" spans="1:9" ht="51">
      <c r="A11" s="51" t="s">
        <v>74</v>
      </c>
      <c r="B11" s="27">
        <v>336860.2</v>
      </c>
      <c r="C11" s="27">
        <v>23000</v>
      </c>
      <c r="D11" s="27">
        <v>15536.5</v>
      </c>
      <c r="E11" s="27">
        <f t="shared" si="0"/>
        <v>4.612150678530737</v>
      </c>
      <c r="F11" s="27">
        <v>10058</v>
      </c>
      <c r="G11" s="27">
        <f>10829327.5/1000</f>
        <v>10829.3275</v>
      </c>
      <c r="H11" s="25">
        <f t="shared" si="1"/>
        <v>212.38622619918</v>
      </c>
      <c r="I11" s="33">
        <f>D11-Январь!D11</f>
        <v>-2843.8600000000006</v>
      </c>
    </row>
    <row r="12" spans="1:9" ht="51" customHeight="1">
      <c r="A12" s="51" t="s">
        <v>75</v>
      </c>
      <c r="B12" s="27">
        <v>1745</v>
      </c>
      <c r="C12" s="27">
        <v>45</v>
      </c>
      <c r="D12" s="27">
        <v>-213.27</v>
      </c>
      <c r="E12" s="27">
        <f t="shared" si="0"/>
        <v>-12.221776504297994</v>
      </c>
      <c r="F12" s="27">
        <v>81.56</v>
      </c>
      <c r="G12" s="27">
        <f>71132.83/1000</f>
        <v>71.13283</v>
      </c>
      <c r="H12" s="25">
        <f t="shared" si="1"/>
        <v>63.26192842320487</v>
      </c>
      <c r="I12" s="33">
        <f>D12-Январь!D12</f>
        <v>-7.780000000000001</v>
      </c>
    </row>
    <row r="13" spans="1:9" ht="25.5">
      <c r="A13" s="51" t="s">
        <v>76</v>
      </c>
      <c r="B13" s="27">
        <v>5600.4</v>
      </c>
      <c r="C13" s="27">
        <v>530</v>
      </c>
      <c r="D13" s="27">
        <v>-181.79</v>
      </c>
      <c r="E13" s="27">
        <f t="shared" si="0"/>
        <v>-3.246018141561317</v>
      </c>
      <c r="F13" s="27">
        <v>117.15</v>
      </c>
      <c r="G13" s="27">
        <f>62006.21/1000</f>
        <v>62.006209999999996</v>
      </c>
      <c r="H13" s="25">
        <f t="shared" si="1"/>
        <v>854.7530965043663</v>
      </c>
      <c r="I13" s="33">
        <f>D13-Январь!D13</f>
        <v>73.18</v>
      </c>
    </row>
    <row r="14" spans="1:9" ht="63.75">
      <c r="A14" s="51" t="s">
        <v>78</v>
      </c>
      <c r="B14" s="27">
        <v>3850</v>
      </c>
      <c r="C14" s="27">
        <v>430</v>
      </c>
      <c r="D14" s="27">
        <v>462.49</v>
      </c>
      <c r="E14" s="27">
        <f t="shared" si="0"/>
        <v>12.012727272727274</v>
      </c>
      <c r="F14" s="27">
        <v>187.82</v>
      </c>
      <c r="G14" s="27">
        <f>203387.85/1000</f>
        <v>203.38785000000001</v>
      </c>
      <c r="H14" s="25">
        <f t="shared" si="1"/>
        <v>211.41872535650478</v>
      </c>
      <c r="I14" s="33">
        <f>D14-Январь!D14</f>
        <v>282.46000000000004</v>
      </c>
    </row>
    <row r="15" spans="1:9" ht="37.5" customHeight="1">
      <c r="A15" s="51" t="s">
        <v>145</v>
      </c>
      <c r="B15" s="27">
        <v>8639</v>
      </c>
      <c r="C15" s="27">
        <v>2000</v>
      </c>
      <c r="D15" s="27">
        <f>-14.92+58.5</f>
        <v>43.58</v>
      </c>
      <c r="E15" s="27">
        <f t="shared" si="0"/>
        <v>0.5044565343211019</v>
      </c>
      <c r="F15" s="27"/>
      <c r="G15" s="27">
        <f>5246159.88/1000</f>
        <v>5246.15988</v>
      </c>
      <c r="H15" s="25">
        <f t="shared" si="1"/>
        <v>38.123123308243514</v>
      </c>
      <c r="I15" s="33">
        <f>D15-Январь!D15</f>
        <v>-14.57</v>
      </c>
    </row>
    <row r="16" spans="1:9" ht="39.75" customHeight="1">
      <c r="A16" s="53" t="s">
        <v>82</v>
      </c>
      <c r="B16" s="26">
        <f>SUM(B17:B20)</f>
        <v>59089.46000000001</v>
      </c>
      <c r="C16" s="26">
        <f>SUM(C17:C20)</f>
        <v>3360</v>
      </c>
      <c r="D16" s="26">
        <f>SUM(D17:D20)</f>
        <v>7512.55</v>
      </c>
      <c r="E16" s="25">
        <f t="shared" si="0"/>
        <v>12.713857936762324</v>
      </c>
      <c r="F16" s="25">
        <v>1853.18</v>
      </c>
      <c r="G16" s="26">
        <f>SUM(G17:G20)</f>
        <v>5206.58843</v>
      </c>
      <c r="H16" s="25">
        <f t="shared" si="1"/>
        <v>64.53362014634985</v>
      </c>
      <c r="I16" s="33">
        <f>D16-Январь!D16</f>
        <v>4973.26</v>
      </c>
    </row>
    <row r="17" spans="1:9" ht="37.5" customHeight="1">
      <c r="A17" s="37" t="s">
        <v>83</v>
      </c>
      <c r="B17" s="27">
        <v>27987.73</v>
      </c>
      <c r="C17" s="27">
        <v>1545</v>
      </c>
      <c r="D17" s="27">
        <v>3910.14</v>
      </c>
      <c r="E17" s="27">
        <f t="shared" si="0"/>
        <v>13.9709079657407</v>
      </c>
      <c r="F17" s="27">
        <v>844.23</v>
      </c>
      <c r="G17" s="27">
        <f>2392168.44/1000</f>
        <v>2392.16844</v>
      </c>
      <c r="H17" s="25">
        <f t="shared" si="1"/>
        <v>64.58575299990163</v>
      </c>
      <c r="I17" s="33">
        <f>D17-Январь!D17</f>
        <v>2806.4399999999996</v>
      </c>
    </row>
    <row r="18" spans="1:9" ht="56.25" customHeight="1">
      <c r="A18" s="37" t="s">
        <v>84</v>
      </c>
      <c r="B18" s="27">
        <v>194.4</v>
      </c>
      <c r="C18" s="27">
        <v>15</v>
      </c>
      <c r="D18" s="27">
        <v>14.11</v>
      </c>
      <c r="E18" s="27">
        <f t="shared" si="0"/>
        <v>7.258230452674896</v>
      </c>
      <c r="F18" s="27">
        <v>5.74</v>
      </c>
      <c r="G18" s="27">
        <f>14077.8/1000</f>
        <v>14.0778</v>
      </c>
      <c r="H18" s="25">
        <f t="shared" si="1"/>
        <v>106.55073946213187</v>
      </c>
      <c r="I18" s="33">
        <f>D18-Январь!D18</f>
        <v>11.73</v>
      </c>
    </row>
    <row r="19" spans="1:9" ht="55.5" customHeight="1">
      <c r="A19" s="37" t="s">
        <v>85</v>
      </c>
      <c r="B19" s="27">
        <v>34598.53</v>
      </c>
      <c r="C19" s="27">
        <v>2050</v>
      </c>
      <c r="D19" s="27">
        <v>3983.35</v>
      </c>
      <c r="E19" s="27">
        <f t="shared" si="0"/>
        <v>11.513061393070746</v>
      </c>
      <c r="F19" s="27">
        <v>1158.41</v>
      </c>
      <c r="G19" s="27">
        <f>2959715.18/1000</f>
        <v>2959.71518</v>
      </c>
      <c r="H19" s="25">
        <f t="shared" si="1"/>
        <v>69.26342148909072</v>
      </c>
      <c r="I19" s="33">
        <f>D19-Январь!D19</f>
        <v>2419</v>
      </c>
    </row>
    <row r="20" spans="1:9" ht="15.75" customHeight="1">
      <c r="A20" s="37" t="s">
        <v>86</v>
      </c>
      <c r="B20" s="27">
        <v>-3691.2</v>
      </c>
      <c r="C20" s="27">
        <v>-250</v>
      </c>
      <c r="D20" s="27">
        <v>-395.05</v>
      </c>
      <c r="E20" s="27">
        <f t="shared" si="0"/>
        <v>10.702481577806676</v>
      </c>
      <c r="F20" s="27">
        <v>-155.2</v>
      </c>
      <c r="G20" s="27">
        <f>-159372.99/1000</f>
        <v>-159.37299</v>
      </c>
      <c r="H20" s="25">
        <f t="shared" si="1"/>
        <v>156.8647234390219</v>
      </c>
      <c r="I20" s="33">
        <f>D20-Январь!D20</f>
        <v>-263.91</v>
      </c>
    </row>
    <row r="21" spans="1:9" ht="12.75">
      <c r="A21" s="54" t="s">
        <v>7</v>
      </c>
      <c r="B21" s="26">
        <f>SUM(B22:B25)</f>
        <v>148961.30000000002</v>
      </c>
      <c r="C21" s="26">
        <f>SUM(C22:C25)</f>
        <v>9000</v>
      </c>
      <c r="D21" s="26">
        <f>SUM(D22:D25)</f>
        <v>-2865.5</v>
      </c>
      <c r="E21" s="25">
        <f t="shared" si="0"/>
        <v>-1.9236539960378969</v>
      </c>
      <c r="F21" s="25">
        <v>7362.96</v>
      </c>
      <c r="G21" s="26">
        <f>SUM(G22:G25)</f>
        <v>5984.851520000002</v>
      </c>
      <c r="H21" s="25">
        <f t="shared" si="1"/>
        <v>150.37967057201107</v>
      </c>
      <c r="I21" s="33">
        <f>D21-Январь!D21</f>
        <v>-5816.04</v>
      </c>
    </row>
    <row r="22" spans="1:9" ht="28.5" customHeight="1">
      <c r="A22" s="51" t="s">
        <v>146</v>
      </c>
      <c r="B22" s="27">
        <v>116885.1</v>
      </c>
      <c r="C22" s="27">
        <v>7300</v>
      </c>
      <c r="D22" s="27">
        <v>-539.57</v>
      </c>
      <c r="E22" s="27">
        <f t="shared" si="0"/>
        <v>-0.46162427888584606</v>
      </c>
      <c r="F22" s="27"/>
      <c r="G22" s="27">
        <f>4635050.98/1000</f>
        <v>4635.050980000001</v>
      </c>
      <c r="H22" s="25">
        <f t="shared" si="1"/>
        <v>157.4955708469899</v>
      </c>
      <c r="I22" s="33">
        <f>D22-Январь!D22</f>
        <v>-2817.5800000000004</v>
      </c>
    </row>
    <row r="23" spans="1:9" ht="19.5" customHeight="1">
      <c r="A23" s="51" t="s">
        <v>89</v>
      </c>
      <c r="B23" s="27">
        <v>0</v>
      </c>
      <c r="C23" s="27">
        <v>0</v>
      </c>
      <c r="D23" s="27">
        <v>-798.56</v>
      </c>
      <c r="E23" s="27" t="s">
        <v>148</v>
      </c>
      <c r="F23" s="27">
        <v>7198.75</v>
      </c>
      <c r="G23" s="27">
        <f>35866.93/1000</f>
        <v>35.86693</v>
      </c>
      <c r="H23" s="25">
        <f t="shared" si="1"/>
        <v>0</v>
      </c>
      <c r="I23" s="33">
        <f>D23-Январь!D23</f>
        <v>-5.92999999999995</v>
      </c>
    </row>
    <row r="24" spans="1:9" ht="15" customHeight="1">
      <c r="A24" s="51" t="s">
        <v>87</v>
      </c>
      <c r="B24" s="27">
        <v>715</v>
      </c>
      <c r="C24" s="27">
        <v>0</v>
      </c>
      <c r="D24" s="27">
        <v>-0.23</v>
      </c>
      <c r="E24" s="27">
        <f t="shared" si="0"/>
        <v>-0.032167832167832165</v>
      </c>
      <c r="F24" s="27">
        <v>113.58</v>
      </c>
      <c r="G24" s="27">
        <f>127520/1000</f>
        <v>127.52</v>
      </c>
      <c r="H24" s="25">
        <f t="shared" si="1"/>
        <v>0</v>
      </c>
      <c r="I24" s="33">
        <f>D24-Январь!D24</f>
        <v>-0.23</v>
      </c>
    </row>
    <row r="25" spans="1:9" ht="27" customHeight="1">
      <c r="A25" s="51" t="s">
        <v>88</v>
      </c>
      <c r="B25" s="27">
        <v>31361.2</v>
      </c>
      <c r="C25" s="27">
        <v>1700</v>
      </c>
      <c r="D25" s="27">
        <v>-1527.14</v>
      </c>
      <c r="E25" s="27">
        <f t="shared" si="0"/>
        <v>-4.869520298968152</v>
      </c>
      <c r="F25" s="27">
        <v>50.63</v>
      </c>
      <c r="G25" s="27">
        <f>1186413.61/1000</f>
        <v>1186.41361</v>
      </c>
      <c r="H25" s="25">
        <f t="shared" si="1"/>
        <v>143.28898334198982</v>
      </c>
      <c r="I25" s="33">
        <f>D25-Январь!D25</f>
        <v>-2992.3</v>
      </c>
    </row>
    <row r="26" spans="1:9" ht="12.75">
      <c r="A26" s="54" t="s">
        <v>8</v>
      </c>
      <c r="B26" s="26">
        <f>SUM(B27:B28)</f>
        <v>42454.6</v>
      </c>
      <c r="C26" s="26">
        <f>SUM(C27:C28)</f>
        <v>2150</v>
      </c>
      <c r="D26" s="26">
        <f>SUM(D27:D28)</f>
        <v>1023.62</v>
      </c>
      <c r="E26" s="25">
        <f t="shared" si="0"/>
        <v>2.4110932619786785</v>
      </c>
      <c r="F26" s="25">
        <v>2465.82</v>
      </c>
      <c r="G26" s="26">
        <f>SUM(G27:G28)</f>
        <v>1404.8256999999999</v>
      </c>
      <c r="H26" s="25">
        <f t="shared" si="1"/>
        <v>153.04389718952325</v>
      </c>
      <c r="I26" s="33">
        <f>D26-Январь!D26</f>
        <v>-406.80999999999983</v>
      </c>
    </row>
    <row r="27" spans="1:9" ht="12.75">
      <c r="A27" s="51" t="s">
        <v>106</v>
      </c>
      <c r="B27" s="27">
        <v>24668.5</v>
      </c>
      <c r="C27" s="27">
        <v>1050</v>
      </c>
      <c r="D27" s="27">
        <v>783.83</v>
      </c>
      <c r="E27" s="27">
        <f t="shared" si="0"/>
        <v>3.1774530271398747</v>
      </c>
      <c r="F27" s="27">
        <v>536.1</v>
      </c>
      <c r="G27" s="27">
        <f>777295.01/1000</f>
        <v>777.29501</v>
      </c>
      <c r="H27" s="25">
        <f t="shared" si="1"/>
        <v>135.08384673664636</v>
      </c>
      <c r="I27" s="33">
        <f>D27-Январь!D27</f>
        <v>-254.27999999999986</v>
      </c>
    </row>
    <row r="28" spans="1:9" ht="12.75">
      <c r="A28" s="51" t="s">
        <v>107</v>
      </c>
      <c r="B28" s="27">
        <v>17786.1</v>
      </c>
      <c r="C28" s="27">
        <v>1100</v>
      </c>
      <c r="D28" s="27">
        <v>239.79</v>
      </c>
      <c r="E28" s="27">
        <f t="shared" si="0"/>
        <v>1.3481876296658626</v>
      </c>
      <c r="F28" s="27">
        <v>1929.72</v>
      </c>
      <c r="G28" s="27">
        <f>627530.69/1000</f>
        <v>627.5306899999999</v>
      </c>
      <c r="H28" s="25">
        <f t="shared" si="1"/>
        <v>175.29023162197853</v>
      </c>
      <c r="I28" s="33">
        <f>D28-Январь!D28</f>
        <v>-152.53</v>
      </c>
    </row>
    <row r="29" spans="1:9" ht="12.75">
      <c r="A29" s="47" t="s">
        <v>9</v>
      </c>
      <c r="B29" s="26">
        <f>SUM(B30:B32)</f>
        <v>15600</v>
      </c>
      <c r="C29" s="26">
        <f>SUM(C30:C32)</f>
        <v>1500</v>
      </c>
      <c r="D29" s="26">
        <f>SUM(D30:D32)</f>
        <v>2320.39</v>
      </c>
      <c r="E29" s="26">
        <f t="shared" si="0"/>
        <v>14.874294871794872</v>
      </c>
      <c r="F29" s="26">
        <v>793.07</v>
      </c>
      <c r="G29" s="26">
        <f>SUM(G30:G32)</f>
        <v>1026.5252500000001</v>
      </c>
      <c r="H29" s="25">
        <f t="shared" si="1"/>
        <v>146.12402373930888</v>
      </c>
      <c r="I29" s="33">
        <f>D29-Январь!D29</f>
        <v>1168.7499999999998</v>
      </c>
    </row>
    <row r="30" spans="1:9" ht="25.5">
      <c r="A30" s="51" t="s">
        <v>10</v>
      </c>
      <c r="B30" s="27">
        <v>15550</v>
      </c>
      <c r="C30" s="27">
        <v>1500</v>
      </c>
      <c r="D30" s="27">
        <v>2305.39</v>
      </c>
      <c r="E30" s="27">
        <f t="shared" si="0"/>
        <v>14.825659163987137</v>
      </c>
      <c r="F30" s="27">
        <v>793.07</v>
      </c>
      <c r="G30" s="27">
        <f>1014925.25/1000</f>
        <v>1014.92525</v>
      </c>
      <c r="H30" s="25">
        <f t="shared" si="1"/>
        <v>147.79413557796497</v>
      </c>
      <c r="I30" s="33">
        <f>D30-Январь!D30</f>
        <v>1168.7499999999998</v>
      </c>
    </row>
    <row r="31" spans="1:9" ht="25.5">
      <c r="A31" s="51" t="s">
        <v>91</v>
      </c>
      <c r="B31" s="27">
        <v>0</v>
      </c>
      <c r="C31" s="27">
        <v>0</v>
      </c>
      <c r="D31" s="27">
        <v>0</v>
      </c>
      <c r="E31" s="27" t="s">
        <v>148</v>
      </c>
      <c r="F31" s="27">
        <v>0</v>
      </c>
      <c r="G31" s="27">
        <f>1600/1000</f>
        <v>1.6</v>
      </c>
      <c r="H31" s="25">
        <f t="shared" si="1"/>
        <v>0</v>
      </c>
      <c r="I31" s="33">
        <f>D31-Январь!D31</f>
        <v>0</v>
      </c>
    </row>
    <row r="32" spans="1:9" ht="25.5">
      <c r="A32" s="51" t="s">
        <v>90</v>
      </c>
      <c r="B32" s="27">
        <v>50</v>
      </c>
      <c r="C32" s="27">
        <v>0</v>
      </c>
      <c r="D32" s="27">
        <v>15</v>
      </c>
      <c r="E32" s="27">
        <f t="shared" si="0"/>
        <v>30</v>
      </c>
      <c r="F32" s="27">
        <v>0</v>
      </c>
      <c r="G32" s="27">
        <f>10000/1000</f>
        <v>10</v>
      </c>
      <c r="H32" s="25">
        <f t="shared" si="1"/>
        <v>0</v>
      </c>
      <c r="I32" s="33">
        <f>D32-Январь!D32</f>
        <v>0</v>
      </c>
    </row>
    <row r="33" spans="1:9" ht="25.5" hidden="1">
      <c r="A33" s="54" t="s">
        <v>11</v>
      </c>
      <c r="B33" s="27">
        <v>0</v>
      </c>
      <c r="C33" s="27">
        <v>0</v>
      </c>
      <c r="D33" s="27">
        <v>0.02</v>
      </c>
      <c r="E33" s="25" t="e">
        <f t="shared" si="0"/>
        <v>#DIV/0!</v>
      </c>
      <c r="F33" s="25">
        <v>0</v>
      </c>
      <c r="G33" s="27">
        <v>0.02</v>
      </c>
      <c r="H33" s="25">
        <f t="shared" si="1"/>
        <v>0</v>
      </c>
      <c r="I33" s="33">
        <f>D33-Январь!D33</f>
        <v>0</v>
      </c>
    </row>
    <row r="34" spans="1:9" ht="25.5" hidden="1">
      <c r="A34" s="51" t="s">
        <v>116</v>
      </c>
      <c r="B34" s="33">
        <v>0</v>
      </c>
      <c r="C34" s="33">
        <v>0</v>
      </c>
      <c r="D34" s="33">
        <v>0.02</v>
      </c>
      <c r="E34" s="25" t="e">
        <f t="shared" si="0"/>
        <v>#DIV/0!</v>
      </c>
      <c r="F34" s="25">
        <v>0</v>
      </c>
      <c r="G34" s="33">
        <v>0.02</v>
      </c>
      <c r="H34" s="25">
        <f t="shared" si="1"/>
        <v>0</v>
      </c>
      <c r="I34" s="33">
        <f>D34-Январь!D34</f>
        <v>0</v>
      </c>
    </row>
    <row r="35" spans="1:9" ht="25.5" hidden="1">
      <c r="A35" s="51" t="s">
        <v>92</v>
      </c>
      <c r="B35" s="27">
        <v>0</v>
      </c>
      <c r="C35" s="27">
        <v>0</v>
      </c>
      <c r="D35" s="27">
        <v>0</v>
      </c>
      <c r="E35" s="25" t="e">
        <f t="shared" si="0"/>
        <v>#DIV/0!</v>
      </c>
      <c r="F35" s="25">
        <v>0</v>
      </c>
      <c r="G35" s="27">
        <v>0</v>
      </c>
      <c r="H35" s="25" t="e">
        <f t="shared" si="1"/>
        <v>#DIV/0!</v>
      </c>
      <c r="I35" s="33">
        <f>D35-Январь!D35</f>
        <v>0</v>
      </c>
    </row>
    <row r="36" spans="1:9" ht="38.25">
      <c r="A36" s="54" t="s">
        <v>150</v>
      </c>
      <c r="B36" s="27">
        <v>0</v>
      </c>
      <c r="C36" s="27">
        <v>0</v>
      </c>
      <c r="D36" s="27">
        <v>-17.04</v>
      </c>
      <c r="E36" s="25" t="e">
        <f t="shared" si="0"/>
        <v>#DIV/0!</v>
      </c>
      <c r="F36" s="25"/>
      <c r="G36" s="27">
        <v>0</v>
      </c>
      <c r="H36" s="25">
        <v>0</v>
      </c>
      <c r="I36" s="33">
        <f>D36-Январь!D36</f>
        <v>-17.45</v>
      </c>
    </row>
    <row r="37" spans="1:9" ht="39.75" customHeight="1">
      <c r="A37" s="54" t="s">
        <v>12</v>
      </c>
      <c r="B37" s="26">
        <f>SUM(B39:B45)</f>
        <v>57702.52</v>
      </c>
      <c r="C37" s="26">
        <f>SUM(C39:C45)</f>
        <v>10121.04</v>
      </c>
      <c r="D37" s="26">
        <f>SUM(D39:D45)</f>
        <v>8213.390000000001</v>
      </c>
      <c r="E37" s="26">
        <f t="shared" si="0"/>
        <v>14.234023054798998</v>
      </c>
      <c r="F37" s="26">
        <v>3247.05</v>
      </c>
      <c r="G37" s="26">
        <f>SUM(G39:G45)</f>
        <v>3331.27835</v>
      </c>
      <c r="H37" s="25">
        <f t="shared" si="1"/>
        <v>303.81850258775285</v>
      </c>
      <c r="I37" s="33">
        <f>D37-Январь!D37</f>
        <v>3579.4500000000016</v>
      </c>
    </row>
    <row r="38" spans="1:9" ht="81.75" customHeight="1" hidden="1">
      <c r="A38" s="51" t="s">
        <v>114</v>
      </c>
      <c r="B38" s="27"/>
      <c r="C38" s="27"/>
      <c r="D38" s="27"/>
      <c r="E38" s="25" t="e">
        <f t="shared" si="0"/>
        <v>#DIV/0!</v>
      </c>
      <c r="F38" s="25"/>
      <c r="G38" s="27"/>
      <c r="H38" s="25" t="e">
        <f t="shared" si="1"/>
        <v>#DIV/0!</v>
      </c>
      <c r="I38" s="33">
        <f>D38-Январь!D38</f>
        <v>0</v>
      </c>
    </row>
    <row r="39" spans="1:9" ht="76.5">
      <c r="A39" s="51" t="s">
        <v>117</v>
      </c>
      <c r="B39" s="27">
        <v>29271.18</v>
      </c>
      <c r="C39" s="27">
        <v>4878.54</v>
      </c>
      <c r="D39" s="27">
        <v>3159.33</v>
      </c>
      <c r="E39" s="27">
        <f t="shared" si="0"/>
        <v>10.793312739698228</v>
      </c>
      <c r="F39" s="27">
        <v>2393.3</v>
      </c>
      <c r="G39" s="27">
        <f>1861737.65/1000</f>
        <v>1861.7376499999998</v>
      </c>
      <c r="H39" s="25">
        <f t="shared" si="1"/>
        <v>262.04229151191095</v>
      </c>
      <c r="I39" s="33">
        <f>D39-Январь!D39</f>
        <v>1116.25</v>
      </c>
    </row>
    <row r="40" spans="1:9" ht="76.5">
      <c r="A40" s="51" t="s">
        <v>125</v>
      </c>
      <c r="B40" s="27">
        <v>5434.31</v>
      </c>
      <c r="C40" s="27">
        <v>905.72</v>
      </c>
      <c r="D40" s="27">
        <v>1110.23</v>
      </c>
      <c r="E40" s="27">
        <f t="shared" si="0"/>
        <v>20.430008593547296</v>
      </c>
      <c r="F40" s="27">
        <v>75.44</v>
      </c>
      <c r="G40" s="27">
        <f>160912.85/1000</f>
        <v>160.91285</v>
      </c>
      <c r="H40" s="25">
        <f t="shared" si="1"/>
        <v>562.8636867720634</v>
      </c>
      <c r="I40" s="33">
        <f>D40-Январь!D40</f>
        <v>206.5</v>
      </c>
    </row>
    <row r="41" spans="1:9" ht="76.5">
      <c r="A41" s="51" t="s">
        <v>118</v>
      </c>
      <c r="B41" s="27">
        <v>515.73</v>
      </c>
      <c r="C41" s="27">
        <v>79.58</v>
      </c>
      <c r="D41" s="27">
        <v>143.93</v>
      </c>
      <c r="E41" s="27">
        <f t="shared" si="0"/>
        <v>27.908013883233473</v>
      </c>
      <c r="F41" s="27">
        <v>3.43</v>
      </c>
      <c r="G41" s="27">
        <f>3504.13/1000</f>
        <v>3.50413</v>
      </c>
      <c r="H41" s="25">
        <f t="shared" si="1"/>
        <v>2271.0344650455318</v>
      </c>
      <c r="I41" s="33">
        <f>D41-Январь!D41</f>
        <v>60.5</v>
      </c>
    </row>
    <row r="42" spans="1:9" ht="38.25">
      <c r="A42" s="51" t="s">
        <v>119</v>
      </c>
      <c r="B42" s="27">
        <v>17384.33</v>
      </c>
      <c r="C42" s="27">
        <v>2897.38</v>
      </c>
      <c r="D42" s="27">
        <v>2414.34</v>
      </c>
      <c r="E42" s="27">
        <f t="shared" si="0"/>
        <v>13.888024445003055</v>
      </c>
      <c r="F42" s="27">
        <v>538.73</v>
      </c>
      <c r="G42" s="27">
        <f>1216579.84/1000</f>
        <v>1216.57984</v>
      </c>
      <c r="H42" s="25">
        <f t="shared" si="1"/>
        <v>238.15781790367328</v>
      </c>
      <c r="I42" s="33">
        <f>D42-Январь!D42</f>
        <v>1005.3100000000002</v>
      </c>
    </row>
    <row r="43" spans="1:9" ht="51">
      <c r="A43" s="51" t="s">
        <v>147</v>
      </c>
      <c r="B43" s="27">
        <v>62.2</v>
      </c>
      <c r="C43" s="27">
        <v>10.36</v>
      </c>
      <c r="D43" s="27">
        <v>5.51</v>
      </c>
      <c r="E43" s="27">
        <f t="shared" si="0"/>
        <v>8.858520900321542</v>
      </c>
      <c r="F43" s="27"/>
      <c r="G43" s="27">
        <v>0</v>
      </c>
      <c r="H43" s="25" t="s">
        <v>148</v>
      </c>
      <c r="I43" s="33">
        <f>D43-Январь!D43</f>
        <v>5.51</v>
      </c>
    </row>
    <row r="44" spans="1:9" ht="51">
      <c r="A44" s="51" t="s">
        <v>120</v>
      </c>
      <c r="B44" s="27">
        <v>1531</v>
      </c>
      <c r="C44" s="27">
        <v>765.5</v>
      </c>
      <c r="D44" s="27">
        <v>997.19</v>
      </c>
      <c r="E44" s="27">
        <f t="shared" si="0"/>
        <v>65.13324624428478</v>
      </c>
      <c r="F44" s="27">
        <v>0</v>
      </c>
      <c r="G44" s="27">
        <v>0</v>
      </c>
      <c r="H44" s="25" t="s">
        <v>148</v>
      </c>
      <c r="I44" s="33">
        <f>D44-Январь!D44</f>
        <v>997.19</v>
      </c>
    </row>
    <row r="45" spans="1:9" ht="76.5">
      <c r="A45" s="55" t="s">
        <v>121</v>
      </c>
      <c r="B45" s="27">
        <v>3503.77</v>
      </c>
      <c r="C45" s="27">
        <v>583.96</v>
      </c>
      <c r="D45" s="27">
        <v>382.86</v>
      </c>
      <c r="E45" s="27">
        <f t="shared" si="0"/>
        <v>10.927087109028276</v>
      </c>
      <c r="F45" s="27">
        <v>236.15</v>
      </c>
      <c r="G45" s="27">
        <f>88543.88/1000</f>
        <v>88.54388</v>
      </c>
      <c r="H45" s="25">
        <f t="shared" si="1"/>
        <v>659.5148077992517</v>
      </c>
      <c r="I45" s="33">
        <f>D45-Январь!D45</f>
        <v>188.19000000000003</v>
      </c>
    </row>
    <row r="46" spans="1:9" ht="27" customHeight="1">
      <c r="A46" s="48" t="s">
        <v>13</v>
      </c>
      <c r="B46" s="33">
        <v>598.72</v>
      </c>
      <c r="C46" s="33">
        <v>58</v>
      </c>
      <c r="D46" s="33">
        <v>174.75</v>
      </c>
      <c r="E46" s="33">
        <f t="shared" si="0"/>
        <v>29.187266167824692</v>
      </c>
      <c r="F46" s="33">
        <v>43.6</v>
      </c>
      <c r="G46" s="33">
        <f>96256.37/1000</f>
        <v>96.25636999999999</v>
      </c>
      <c r="H46" s="33">
        <f t="shared" si="1"/>
        <v>60.2557524244889</v>
      </c>
      <c r="I46" s="33">
        <f>D46-Январь!D46</f>
        <v>172.38</v>
      </c>
    </row>
    <row r="47" spans="1:9" ht="25.5">
      <c r="A47" s="48" t="s">
        <v>96</v>
      </c>
      <c r="B47" s="33">
        <v>1290.36</v>
      </c>
      <c r="C47" s="33">
        <v>79.81</v>
      </c>
      <c r="D47" s="33">
        <v>120.63</v>
      </c>
      <c r="E47" s="33">
        <f t="shared" si="0"/>
        <v>9.348553891937133</v>
      </c>
      <c r="F47" s="33">
        <v>561.58</v>
      </c>
      <c r="G47" s="33">
        <f>21416.23/1000</f>
        <v>21.41623</v>
      </c>
      <c r="H47" s="33">
        <f t="shared" si="1"/>
        <v>372.66129472834393</v>
      </c>
      <c r="I47" s="33">
        <f>D47-Январь!D47</f>
        <v>120.63</v>
      </c>
    </row>
    <row r="48" spans="1:9" ht="25.5">
      <c r="A48" s="54" t="s">
        <v>14</v>
      </c>
      <c r="B48" s="33">
        <f>SUM(B49:B51)</f>
        <v>23400</v>
      </c>
      <c r="C48" s="33">
        <f>SUM(C49:C51)</f>
        <v>0</v>
      </c>
      <c r="D48" s="33">
        <f>SUM(D49:D51)</f>
        <v>532.9</v>
      </c>
      <c r="E48" s="25">
        <f t="shared" si="0"/>
        <v>2.2773504273504273</v>
      </c>
      <c r="F48" s="25">
        <v>585.5</v>
      </c>
      <c r="G48" s="27">
        <f>SUM(G49:G51)</f>
        <v>273.72363</v>
      </c>
      <c r="H48" s="25">
        <f t="shared" si="1"/>
        <v>0</v>
      </c>
      <c r="I48" s="33">
        <f>D48-Январь!D48</f>
        <v>56.099999999999966</v>
      </c>
    </row>
    <row r="49" spans="1:9" ht="12.75">
      <c r="A49" s="51" t="s">
        <v>94</v>
      </c>
      <c r="B49" s="27">
        <v>0</v>
      </c>
      <c r="C49" s="27">
        <v>0</v>
      </c>
      <c r="D49" s="27">
        <v>0</v>
      </c>
      <c r="E49" s="25">
        <v>0</v>
      </c>
      <c r="F49" s="25">
        <v>0</v>
      </c>
      <c r="G49" s="33">
        <v>0</v>
      </c>
      <c r="H49" s="25" t="s">
        <v>148</v>
      </c>
      <c r="I49" s="33">
        <f>D49-Январь!D49</f>
        <v>0</v>
      </c>
    </row>
    <row r="50" spans="1:9" ht="76.5">
      <c r="A50" s="51" t="s">
        <v>95</v>
      </c>
      <c r="B50" s="27">
        <v>22000</v>
      </c>
      <c r="C50" s="27">
        <v>0</v>
      </c>
      <c r="D50" s="27">
        <v>0</v>
      </c>
      <c r="E50" s="25">
        <f t="shared" si="0"/>
        <v>0</v>
      </c>
      <c r="F50" s="25">
        <v>37.14</v>
      </c>
      <c r="G50" s="27">
        <v>0</v>
      </c>
      <c r="H50" s="25" t="s">
        <v>148</v>
      </c>
      <c r="I50" s="33">
        <f>D50-Январь!D50</f>
        <v>0</v>
      </c>
    </row>
    <row r="51" spans="1:9" ht="52.5" customHeight="1">
      <c r="A51" s="55" t="s">
        <v>93</v>
      </c>
      <c r="B51" s="27">
        <v>1400</v>
      </c>
      <c r="C51" s="27">
        <v>0</v>
      </c>
      <c r="D51" s="27">
        <v>532.9</v>
      </c>
      <c r="E51" s="27">
        <f t="shared" si="0"/>
        <v>38.06428571428571</v>
      </c>
      <c r="F51" s="27">
        <v>548.36</v>
      </c>
      <c r="G51" s="27">
        <f>273723.63/1000</f>
        <v>273.72363</v>
      </c>
      <c r="H51" s="25">
        <f t="shared" si="1"/>
        <v>0</v>
      </c>
      <c r="I51" s="33">
        <f>D51-Январь!D51</f>
        <v>56.099999999999966</v>
      </c>
    </row>
    <row r="52" spans="1:9" ht="12.75">
      <c r="A52" s="48" t="s">
        <v>15</v>
      </c>
      <c r="B52" s="33">
        <v>3600.1</v>
      </c>
      <c r="C52" s="33">
        <v>310.92</v>
      </c>
      <c r="D52" s="33">
        <v>-4676.34</v>
      </c>
      <c r="E52" s="26">
        <f t="shared" si="0"/>
        <v>-129.8947251465237</v>
      </c>
      <c r="F52" s="26">
        <v>179.73</v>
      </c>
      <c r="G52" s="26">
        <f>105873.81/1000</f>
        <v>105.87380999999999</v>
      </c>
      <c r="H52" s="25">
        <f t="shared" si="1"/>
        <v>293.670360970291</v>
      </c>
      <c r="I52" s="33">
        <f>D52-Январь!D52</f>
        <v>262.3800000000001</v>
      </c>
    </row>
    <row r="53" spans="1:9" ht="63.75" hidden="1">
      <c r="A53" s="51" t="s">
        <v>126</v>
      </c>
      <c r="B53" s="33">
        <v>223.07</v>
      </c>
      <c r="C53" s="33">
        <v>20</v>
      </c>
      <c r="D53" s="33"/>
      <c r="E53" s="26">
        <f t="shared" si="0"/>
        <v>0</v>
      </c>
      <c r="F53" s="26"/>
      <c r="G53" s="26"/>
      <c r="H53" s="25" t="e">
        <f t="shared" si="1"/>
        <v>#DIV/0!</v>
      </c>
      <c r="I53" s="33">
        <f>D53-Январь!D53</f>
        <v>0</v>
      </c>
    </row>
    <row r="54" spans="1:9" ht="89.25" hidden="1">
      <c r="A54" s="51" t="s">
        <v>127</v>
      </c>
      <c r="B54" s="33">
        <v>223.07</v>
      </c>
      <c r="C54" s="33">
        <v>20</v>
      </c>
      <c r="D54" s="33"/>
      <c r="E54" s="26">
        <f t="shared" si="0"/>
        <v>0</v>
      </c>
      <c r="F54" s="26"/>
      <c r="G54" s="26"/>
      <c r="H54" s="25" t="e">
        <f t="shared" si="1"/>
        <v>#DIV/0!</v>
      </c>
      <c r="I54" s="33">
        <f>D54-Январь!D54</f>
        <v>0</v>
      </c>
    </row>
    <row r="55" spans="1:9" ht="63.75" hidden="1">
      <c r="A55" s="51" t="s">
        <v>128</v>
      </c>
      <c r="B55" s="33">
        <v>223.07</v>
      </c>
      <c r="C55" s="33">
        <v>20</v>
      </c>
      <c r="D55" s="33"/>
      <c r="E55" s="26">
        <f t="shared" si="0"/>
        <v>0</v>
      </c>
      <c r="F55" s="26"/>
      <c r="G55" s="26"/>
      <c r="H55" s="25" t="e">
        <f t="shared" si="1"/>
        <v>#DIV/0!</v>
      </c>
      <c r="I55" s="33">
        <f>D55-Январь!D55</f>
        <v>0</v>
      </c>
    </row>
    <row r="56" spans="1:9" ht="29.25" customHeight="1" hidden="1">
      <c r="A56" s="51" t="s">
        <v>129</v>
      </c>
      <c r="B56" s="33">
        <v>223.07</v>
      </c>
      <c r="C56" s="33">
        <v>20</v>
      </c>
      <c r="D56" s="33"/>
      <c r="E56" s="26">
        <f t="shared" si="0"/>
        <v>0</v>
      </c>
      <c r="F56" s="26"/>
      <c r="G56" s="26"/>
      <c r="H56" s="25" t="e">
        <f t="shared" si="1"/>
        <v>#DIV/0!</v>
      </c>
      <c r="I56" s="33">
        <f>D56-Январь!D56</f>
        <v>0</v>
      </c>
    </row>
    <row r="57" spans="1:9" ht="38.25" customHeight="1" hidden="1">
      <c r="A57" s="51" t="s">
        <v>130</v>
      </c>
      <c r="B57" s="33">
        <v>223.07</v>
      </c>
      <c r="C57" s="33">
        <v>20</v>
      </c>
      <c r="D57" s="33"/>
      <c r="E57" s="26">
        <f t="shared" si="0"/>
        <v>0</v>
      </c>
      <c r="F57" s="26"/>
      <c r="G57" s="26"/>
      <c r="H57" s="25" t="e">
        <f t="shared" si="1"/>
        <v>#DIV/0!</v>
      </c>
      <c r="I57" s="33">
        <f>D57-Январь!D57</f>
        <v>0</v>
      </c>
    </row>
    <row r="58" spans="1:9" ht="43.5" customHeight="1" hidden="1">
      <c r="A58" s="51" t="s">
        <v>131</v>
      </c>
      <c r="B58" s="33">
        <v>223.07</v>
      </c>
      <c r="C58" s="33">
        <v>20</v>
      </c>
      <c r="D58" s="33"/>
      <c r="E58" s="26">
        <f t="shared" si="0"/>
        <v>0</v>
      </c>
      <c r="F58" s="26"/>
      <c r="G58" s="26"/>
      <c r="H58" s="25" t="e">
        <f t="shared" si="1"/>
        <v>#DIV/0!</v>
      </c>
      <c r="I58" s="33">
        <f>D58-Январь!D58</f>
        <v>0</v>
      </c>
    </row>
    <row r="59" spans="1:9" ht="40.5" customHeight="1" hidden="1">
      <c r="A59" s="51" t="s">
        <v>132</v>
      </c>
      <c r="B59" s="33">
        <v>223.07</v>
      </c>
      <c r="C59" s="33">
        <v>20</v>
      </c>
      <c r="D59" s="33"/>
      <c r="E59" s="26">
        <f t="shared" si="0"/>
        <v>0</v>
      </c>
      <c r="F59" s="26"/>
      <c r="G59" s="26"/>
      <c r="H59" s="25" t="e">
        <f t="shared" si="1"/>
        <v>#DIV/0!</v>
      </c>
      <c r="I59" s="33">
        <f>D59-Январь!D59</f>
        <v>0</v>
      </c>
    </row>
    <row r="60" spans="1:9" ht="51" hidden="1">
      <c r="A60" s="51" t="s">
        <v>133</v>
      </c>
      <c r="B60" s="33">
        <v>223.07</v>
      </c>
      <c r="C60" s="33">
        <v>20</v>
      </c>
      <c r="D60" s="33"/>
      <c r="E60" s="26">
        <f t="shared" si="0"/>
        <v>0</v>
      </c>
      <c r="F60" s="26"/>
      <c r="G60" s="26"/>
      <c r="H60" s="25" t="e">
        <f t="shared" si="1"/>
        <v>#DIV/0!</v>
      </c>
      <c r="I60" s="33">
        <f>D60-Январь!D60</f>
        <v>0</v>
      </c>
    </row>
    <row r="61" spans="1:9" ht="76.5" hidden="1">
      <c r="A61" s="51" t="s">
        <v>134</v>
      </c>
      <c r="B61" s="33">
        <v>223.07</v>
      </c>
      <c r="C61" s="33">
        <v>20</v>
      </c>
      <c r="D61" s="33"/>
      <c r="E61" s="26">
        <f t="shared" si="0"/>
        <v>0</v>
      </c>
      <c r="F61" s="26"/>
      <c r="G61" s="26"/>
      <c r="H61" s="25" t="e">
        <f t="shared" si="1"/>
        <v>#DIV/0!</v>
      </c>
      <c r="I61" s="33">
        <f>D61-Январь!D61</f>
        <v>0</v>
      </c>
    </row>
    <row r="62" spans="1:9" ht="12.75" hidden="1">
      <c r="A62" s="51" t="s">
        <v>135</v>
      </c>
      <c r="B62" s="33">
        <v>223.07</v>
      </c>
      <c r="C62" s="33">
        <v>20</v>
      </c>
      <c r="D62" s="33"/>
      <c r="E62" s="26">
        <f t="shared" si="0"/>
        <v>0</v>
      </c>
      <c r="F62" s="26"/>
      <c r="G62" s="26"/>
      <c r="H62" s="25" t="e">
        <f t="shared" si="1"/>
        <v>#DIV/0!</v>
      </c>
      <c r="I62" s="33">
        <f>D62-Январь!D62</f>
        <v>0</v>
      </c>
    </row>
    <row r="63" spans="1:9" ht="12.75">
      <c r="A63" s="47" t="s">
        <v>16</v>
      </c>
      <c r="B63" s="33">
        <v>10</v>
      </c>
      <c r="C63" s="33">
        <v>1.6</v>
      </c>
      <c r="D63" s="33">
        <v>-1095.11</v>
      </c>
      <c r="E63" s="26">
        <f t="shared" si="0"/>
        <v>-10951.1</v>
      </c>
      <c r="F63" s="26">
        <v>-38.79</v>
      </c>
      <c r="G63" s="26">
        <v>0</v>
      </c>
      <c r="H63" s="25" t="s">
        <v>148</v>
      </c>
      <c r="I63" s="33">
        <f>D63-Январь!D63</f>
        <v>-23.189999999999827</v>
      </c>
    </row>
    <row r="64" spans="1:9" ht="12.75">
      <c r="A64" s="54" t="s">
        <v>17</v>
      </c>
      <c r="B64" s="26">
        <f>B63+B52+B48+B47+B46+B37+B29+B26+B21+B16+B8</f>
        <v>718032.66</v>
      </c>
      <c r="C64" s="26">
        <f>C63+C52+C48+C47+C46+C37+C29+C26+C21+C16+C8</f>
        <v>53136.37</v>
      </c>
      <c r="D64" s="26">
        <f>D63+D52+D48+D47+D46+D37+D29+D26+D21+D16+D8</f>
        <v>27298.98</v>
      </c>
      <c r="E64" s="26">
        <f t="shared" si="0"/>
        <v>3.801913411571</v>
      </c>
      <c r="F64" s="26">
        <v>27699.089999999997</v>
      </c>
      <c r="G64" s="26">
        <f>G63+G52+G48+G47+G46+G37+G29+G26+G21+G16+G8</f>
        <v>34369.89031</v>
      </c>
      <c r="H64" s="25">
        <f t="shared" si="1"/>
        <v>154.6015117323195</v>
      </c>
      <c r="I64" s="33">
        <f>D64-Январь!D64</f>
        <v>1426.2900000000009</v>
      </c>
    </row>
    <row r="65" spans="1:9" ht="12.75">
      <c r="A65" s="54" t="s">
        <v>18</v>
      </c>
      <c r="B65" s="26">
        <f>B66+B71+B72</f>
        <v>2840157.9</v>
      </c>
      <c r="C65" s="26">
        <f>C66+C71+C72</f>
        <v>260821.66999999998</v>
      </c>
      <c r="D65" s="26">
        <f>D66+D71+D72</f>
        <v>340327.71</v>
      </c>
      <c r="E65" s="26">
        <f t="shared" si="0"/>
        <v>11.982703848965581</v>
      </c>
      <c r="F65" s="26">
        <v>43822.57000000001</v>
      </c>
      <c r="G65" s="26">
        <f>G66+G71+G72</f>
        <v>26428.086470000002</v>
      </c>
      <c r="H65" s="25">
        <f t="shared" si="1"/>
        <v>986.9109150073095</v>
      </c>
      <c r="I65" s="33">
        <f>D65-Январь!D65</f>
        <v>320851.23000000004</v>
      </c>
    </row>
    <row r="66" spans="1:9" ht="25.5">
      <c r="A66" s="54" t="s">
        <v>19</v>
      </c>
      <c r="B66" s="26">
        <f>SUM(B67:B70)</f>
        <v>2893973.6</v>
      </c>
      <c r="C66" s="26">
        <f>SUM(C67:C70)</f>
        <v>314637.37</v>
      </c>
      <c r="D66" s="26">
        <f>SUM(D67:D70)</f>
        <v>369882.27</v>
      </c>
      <c r="E66" s="26">
        <f t="shared" si="0"/>
        <v>12.781121085555169</v>
      </c>
      <c r="F66" s="26">
        <v>46091.770000000004</v>
      </c>
      <c r="G66" s="26">
        <f>SUM(G67:G70)</f>
        <v>51320.40685</v>
      </c>
      <c r="H66" s="25">
        <f t="shared" si="1"/>
        <v>613.0843251489149</v>
      </c>
      <c r="I66" s="33">
        <f>D66-Январь!D66</f>
        <v>296590.09</v>
      </c>
    </row>
    <row r="67" spans="1:9" ht="12.75">
      <c r="A67" s="51" t="s">
        <v>108</v>
      </c>
      <c r="B67" s="27">
        <v>565077</v>
      </c>
      <c r="C67" s="27">
        <v>110109.1</v>
      </c>
      <c r="D67" s="27">
        <v>165354</v>
      </c>
      <c r="E67" s="25">
        <f t="shared" si="0"/>
        <v>29.262206743505754</v>
      </c>
      <c r="F67" s="25">
        <v>15902.8</v>
      </c>
      <c r="G67" s="27">
        <f>18665500/1000</f>
        <v>18665.5</v>
      </c>
      <c r="H67" s="25">
        <f t="shared" si="1"/>
        <v>589.9070477619138</v>
      </c>
      <c r="I67" s="33">
        <f>D67-Январь!D67</f>
        <v>128333.2</v>
      </c>
    </row>
    <row r="68" spans="1:9" ht="12.75" customHeight="1">
      <c r="A68" s="51" t="s">
        <v>109</v>
      </c>
      <c r="B68" s="27">
        <v>1029435.96</v>
      </c>
      <c r="C68" s="27">
        <v>66950.07</v>
      </c>
      <c r="D68" s="27">
        <v>66950.07</v>
      </c>
      <c r="E68" s="25">
        <f t="shared" si="0"/>
        <v>6.503568225846706</v>
      </c>
      <c r="F68" s="25">
        <v>0</v>
      </c>
      <c r="G68" s="27">
        <f>702486/1000</f>
        <v>702.486</v>
      </c>
      <c r="H68" s="25">
        <f t="shared" si="1"/>
        <v>9530.449005389433</v>
      </c>
      <c r="I68" s="33">
        <f>D68-Январь!D68</f>
        <v>66950.07</v>
      </c>
    </row>
    <row r="69" spans="1:9" ht="18.75" customHeight="1">
      <c r="A69" s="51" t="s">
        <v>110</v>
      </c>
      <c r="B69" s="27">
        <v>1246629.9</v>
      </c>
      <c r="C69" s="27">
        <v>133652.2</v>
      </c>
      <c r="D69" s="27">
        <v>133652.2</v>
      </c>
      <c r="E69" s="25">
        <f t="shared" si="0"/>
        <v>10.721080891770688</v>
      </c>
      <c r="F69" s="25">
        <v>30188.97</v>
      </c>
      <c r="G69" s="27">
        <f>31952420.85/1000</f>
        <v>31952.420850000002</v>
      </c>
      <c r="H69" s="25">
        <f t="shared" si="1"/>
        <v>418.2850514752156</v>
      </c>
      <c r="I69" s="33">
        <f>D69-Январь!D69</f>
        <v>97380.82</v>
      </c>
    </row>
    <row r="70" spans="1:9" ht="12.75" customHeight="1">
      <c r="A70" s="2" t="s">
        <v>122</v>
      </c>
      <c r="B70" s="27">
        <v>52830.74</v>
      </c>
      <c r="C70" s="27">
        <v>3926</v>
      </c>
      <c r="D70" s="27">
        <v>3926</v>
      </c>
      <c r="E70" s="25">
        <f t="shared" si="0"/>
        <v>7.4312795921465415</v>
      </c>
      <c r="F70" s="25">
        <v>0</v>
      </c>
      <c r="G70" s="34">
        <v>0</v>
      </c>
      <c r="H70" s="25" t="s">
        <v>148</v>
      </c>
      <c r="I70" s="33">
        <f>D70-Январь!D70</f>
        <v>3926</v>
      </c>
    </row>
    <row r="71" spans="1:9" ht="12.75" customHeight="1">
      <c r="A71" s="54" t="s">
        <v>113</v>
      </c>
      <c r="B71" s="26"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5" t="s">
        <v>148</v>
      </c>
      <c r="I71" s="33">
        <f>D71-Январь!D71</f>
        <v>0</v>
      </c>
    </row>
    <row r="72" spans="1:9" ht="25.5">
      <c r="A72" s="54" t="s">
        <v>21</v>
      </c>
      <c r="B72" s="33">
        <v>-53815.7</v>
      </c>
      <c r="C72" s="33">
        <v>-53815.7</v>
      </c>
      <c r="D72" s="33">
        <v>-29554.56</v>
      </c>
      <c r="E72" s="26">
        <f t="shared" si="0"/>
        <v>54.9181001083327</v>
      </c>
      <c r="F72" s="26">
        <v>-2269.2</v>
      </c>
      <c r="G72" s="26">
        <f>-24892320.38/1000</f>
        <v>-24892.320379999997</v>
      </c>
      <c r="H72" s="25">
        <f t="shared" si="1"/>
        <v>216.1939874566246</v>
      </c>
      <c r="I72" s="33">
        <f>D72-Январь!D72</f>
        <v>24261.139999999996</v>
      </c>
    </row>
    <row r="73" spans="1:9" ht="12.75">
      <c r="A73" s="47" t="s">
        <v>20</v>
      </c>
      <c r="B73" s="26">
        <f>B9+B11+B12+B13+B14+B15+B17+B18+B19+B20+B22+B23+B24+B25+B27+B28+B30+B31+B32+B39+B40+B41+B42+B43+B44+B45+B46+B47+B49+B50+B51+B52+B63+B67+B68+B69+B70+B71+B72</f>
        <v>3558190.56</v>
      </c>
      <c r="C73" s="26">
        <f>C9+C11+C12+C13+C14+C15+C17+C18+C19+C20+C22+C23+C24+C25+C27+C28+C30+C31+C32+C39+C40+C41+C42+C43+C44+C45+C46+C47+C49+C50+C51+C52+C63+C67+C68+C69+C70+C71+C72</f>
        <v>313958.04</v>
      </c>
      <c r="D73" s="26">
        <f>D9+D11+D12+D13+D14+D15+D17+D18+D19+D20+D22+D23+D24+D25+D27+D28+D30+D31+D32+D39+D40+D41+D42+D43+D44+D45+D46+D47+D49+D50+D51+D52+D63+D67+D68+D69+D70+D71+D72+D36</f>
        <v>367609.65</v>
      </c>
      <c r="E73" s="25">
        <f>D73/B73*100</f>
        <v>10.331364883391743</v>
      </c>
      <c r="F73" s="25">
        <v>71521.66</v>
      </c>
      <c r="G73" s="26">
        <f>G9+G11+G12+G13+G14+G15+G17+G18+G19+G20+G22+G23+G24+G25+G27+G28+G30+G31+G32+G39+G40+G41+G42+G43+G44+G45+G46+G47+G49+G50+G51+G52+G63+G67+G68+G69+G70+G71+G72</f>
        <v>60797.976780000005</v>
      </c>
      <c r="H73" s="25">
        <f>C73/G73*100</f>
        <v>516.3955391740586</v>
      </c>
      <c r="I73" s="33">
        <f>D73-Январь!D73</f>
        <v>322260.07</v>
      </c>
    </row>
    <row r="74" spans="1:9" ht="12.75" hidden="1">
      <c r="A74" s="54"/>
      <c r="B74" s="61"/>
      <c r="C74" s="61"/>
      <c r="D74" s="61"/>
      <c r="E74" s="45"/>
      <c r="F74" s="45"/>
      <c r="G74" s="61"/>
      <c r="H74" s="45"/>
      <c r="I74" s="61"/>
    </row>
    <row r="75" spans="1:9" ht="12.75" hidden="1">
      <c r="A75" s="54"/>
      <c r="B75" s="56"/>
      <c r="C75" s="56"/>
      <c r="D75" s="56"/>
      <c r="E75" s="45"/>
      <c r="F75" s="45"/>
      <c r="G75" s="56"/>
      <c r="H75" s="45"/>
      <c r="I75" s="56"/>
    </row>
    <row r="76" spans="1:9" ht="12.75" hidden="1">
      <c r="A76" s="47"/>
      <c r="B76" s="57"/>
      <c r="C76" s="57"/>
      <c r="D76" s="57"/>
      <c r="E76" s="45"/>
      <c r="F76" s="45"/>
      <c r="G76" s="57"/>
      <c r="H76" s="45"/>
      <c r="I76" s="57"/>
    </row>
    <row r="77" spans="1:9" ht="12.75" hidden="1">
      <c r="A77" s="62"/>
      <c r="B77" s="63"/>
      <c r="C77" s="63"/>
      <c r="D77" s="63"/>
      <c r="E77" s="64"/>
      <c r="F77" s="64"/>
      <c r="G77" s="63"/>
      <c r="H77" s="64"/>
      <c r="I77" s="65"/>
    </row>
    <row r="78" spans="1:9" ht="12.75">
      <c r="A78" s="108" t="s">
        <v>22</v>
      </c>
      <c r="B78" s="109"/>
      <c r="C78" s="109"/>
      <c r="D78" s="109"/>
      <c r="E78" s="109"/>
      <c r="F78" s="109"/>
      <c r="G78" s="109"/>
      <c r="H78" s="109"/>
      <c r="I78" s="110"/>
    </row>
    <row r="79" spans="1:9" ht="12.75">
      <c r="A79" s="7" t="s">
        <v>23</v>
      </c>
      <c r="B79" s="33">
        <f>B80+B81+B82+B83+B84+B85+B86+B87</f>
        <v>436543.95</v>
      </c>
      <c r="C79" s="33">
        <f>C80+C81+C82+C83+C84+C85+C86+C87</f>
        <v>59480.78</v>
      </c>
      <c r="D79" s="33">
        <f>D80+D81+D82+D83+D84+D85+D86+D87</f>
        <v>55926.05</v>
      </c>
      <c r="E79" s="25">
        <f>$D:$D/$B:$B*100</f>
        <v>12.811092674632189</v>
      </c>
      <c r="F79" s="25">
        <f>$D:$D/$C:$C*100</f>
        <v>94.02373338076603</v>
      </c>
      <c r="G79" s="33">
        <v>13857.27002</v>
      </c>
      <c r="H79" s="25">
        <f>$D:$D/$G:$G*100</f>
        <v>403.5863479551364</v>
      </c>
      <c r="I79" s="33">
        <f>D79-Январь!D79</f>
        <v>51885.280000000006</v>
      </c>
    </row>
    <row r="80" spans="1:9" ht="14.25" customHeight="1">
      <c r="A80" s="8" t="s">
        <v>24</v>
      </c>
      <c r="B80" s="27">
        <v>3112.77</v>
      </c>
      <c r="C80" s="27">
        <v>576.69</v>
      </c>
      <c r="D80" s="27">
        <v>411.32</v>
      </c>
      <c r="E80" s="28">
        <f>$D:$D/$B:$B*100</f>
        <v>13.213954130886638</v>
      </c>
      <c r="F80" s="28">
        <v>0</v>
      </c>
      <c r="G80" s="33">
        <v>14</v>
      </c>
      <c r="H80" s="28">
        <v>0</v>
      </c>
      <c r="I80" s="33">
        <f>D80-Январь!D80</f>
        <v>326.65</v>
      </c>
    </row>
    <row r="81" spans="1:9" ht="12.75">
      <c r="A81" s="8" t="s">
        <v>25</v>
      </c>
      <c r="B81" s="27">
        <v>7499.62</v>
      </c>
      <c r="C81" s="27">
        <v>1242.66</v>
      </c>
      <c r="D81" s="27">
        <v>917.17</v>
      </c>
      <c r="E81" s="28">
        <f>$D:$D/$B:$B*100</f>
        <v>12.229552964016843</v>
      </c>
      <c r="F81" s="28">
        <f>$D:$D/$C:$C*100</f>
        <v>73.80699467271819</v>
      </c>
      <c r="G81" s="33">
        <v>656.6261999999999</v>
      </c>
      <c r="H81" s="28">
        <f>$D:$D/$G:$G*100</f>
        <v>139.67916601561132</v>
      </c>
      <c r="I81" s="33">
        <f>D81-Январь!D81</f>
        <v>737.23</v>
      </c>
    </row>
    <row r="82" spans="1:9" ht="25.5">
      <c r="A82" s="8" t="s">
        <v>26</v>
      </c>
      <c r="B82" s="27">
        <v>68916.66</v>
      </c>
      <c r="C82" s="27">
        <v>9780.27</v>
      </c>
      <c r="D82" s="27">
        <v>7781.1</v>
      </c>
      <c r="E82" s="28">
        <f>$D:$D/$B:$B*100</f>
        <v>11.290593595220662</v>
      </c>
      <c r="F82" s="28">
        <f>$D:$D/$C:$C*100</f>
        <v>79.55915327490959</v>
      </c>
      <c r="G82" s="33">
        <v>6398.15301</v>
      </c>
      <c r="H82" s="28">
        <f>$D:$D/$G:$G*100</f>
        <v>121.61478457671333</v>
      </c>
      <c r="I82" s="33">
        <f>D82-Январь!D82</f>
        <v>6014.67</v>
      </c>
    </row>
    <row r="83" spans="1:9" ht="12.75">
      <c r="A83" s="8" t="s">
        <v>72</v>
      </c>
      <c r="B83" s="27">
        <v>4</v>
      </c>
      <c r="C83" s="27">
        <v>0</v>
      </c>
      <c r="D83" s="27">
        <v>0</v>
      </c>
      <c r="E83" s="28">
        <v>0</v>
      </c>
      <c r="F83" s="28">
        <v>0</v>
      </c>
      <c r="G83" s="33">
        <v>0</v>
      </c>
      <c r="H83" s="28">
        <v>0</v>
      </c>
      <c r="I83" s="33">
        <f>D83-Январь!D83</f>
        <v>0</v>
      </c>
    </row>
    <row r="84" spans="1:9" ht="25.5">
      <c r="A84" s="1" t="s">
        <v>27</v>
      </c>
      <c r="B84" s="27">
        <v>17625.39</v>
      </c>
      <c r="C84" s="27">
        <v>2574.5299999999997</v>
      </c>
      <c r="D84" s="27">
        <v>1765.35</v>
      </c>
      <c r="E84" s="28">
        <f>$D:$D/$B:$B*100</f>
        <v>10.015948583265391</v>
      </c>
      <c r="F84" s="28">
        <v>0</v>
      </c>
      <c r="G84" s="33">
        <v>1903.4766200000001</v>
      </c>
      <c r="H84" s="28">
        <f>$D:$D/$G:$G*100</f>
        <v>92.74345591909608</v>
      </c>
      <c r="I84" s="33">
        <f>D84-Январь!D84</f>
        <v>926.3599999999999</v>
      </c>
    </row>
    <row r="85" spans="1:9" ht="12.75" hidden="1">
      <c r="A85" s="8" t="s">
        <v>28</v>
      </c>
      <c r="B85" s="27">
        <v>0</v>
      </c>
      <c r="C85" s="27">
        <v>0</v>
      </c>
      <c r="D85" s="27">
        <v>0</v>
      </c>
      <c r="E85" s="28">
        <v>0</v>
      </c>
      <c r="F85" s="28">
        <v>0</v>
      </c>
      <c r="G85" s="33">
        <v>0</v>
      </c>
      <c r="H85" s="28">
        <v>0</v>
      </c>
      <c r="I85" s="33">
        <f>D85-Январь!D85</f>
        <v>0</v>
      </c>
    </row>
    <row r="86" spans="1:9" ht="12.75">
      <c r="A86" s="8" t="s">
        <v>29</v>
      </c>
      <c r="B86" s="27">
        <v>23857.81</v>
      </c>
      <c r="C86" s="27">
        <v>0</v>
      </c>
      <c r="D86" s="27">
        <v>0</v>
      </c>
      <c r="E86" s="28">
        <f>$D:$D/$B:$B*100</f>
        <v>0</v>
      </c>
      <c r="F86" s="28">
        <v>0</v>
      </c>
      <c r="G86" s="33">
        <v>0</v>
      </c>
      <c r="H86" s="28">
        <v>0</v>
      </c>
      <c r="I86" s="33">
        <f>D86-Январь!D86</f>
        <v>0</v>
      </c>
    </row>
    <row r="87" spans="1:9" ht="12.75">
      <c r="A87" s="1" t="s">
        <v>30</v>
      </c>
      <c r="B87" s="27">
        <v>315527.7</v>
      </c>
      <c r="C87" s="27">
        <v>45306.63</v>
      </c>
      <c r="D87" s="27">
        <v>45051.11</v>
      </c>
      <c r="E87" s="28">
        <f>$D:$D/$B:$B*100</f>
        <v>14.278020598508467</v>
      </c>
      <c r="F87" s="28">
        <f>$D:$D/$C:$C*100</f>
        <v>99.43602073250648</v>
      </c>
      <c r="G87" s="33">
        <v>4885.014190000001</v>
      </c>
      <c r="H87" s="28">
        <f>$D:$D/$G:$G*100</f>
        <v>922.2308932535567</v>
      </c>
      <c r="I87" s="33">
        <f>D87-Январь!D87</f>
        <v>43880.37</v>
      </c>
    </row>
    <row r="88" spans="1:9" ht="12.75">
      <c r="A88" s="7" t="s">
        <v>31</v>
      </c>
      <c r="B88" s="27">
        <v>527.7</v>
      </c>
      <c r="C88" s="27">
        <v>84.93</v>
      </c>
      <c r="D88" s="27">
        <v>84.93</v>
      </c>
      <c r="E88" s="25">
        <f>$D:$D/$B:$B*100</f>
        <v>16.094371802160317</v>
      </c>
      <c r="F88" s="25">
        <f>$D:$D/$C:$C*100</f>
        <v>100</v>
      </c>
      <c r="G88" s="33">
        <v>41.59918</v>
      </c>
      <c r="H88" s="25">
        <v>0</v>
      </c>
      <c r="I88" s="33">
        <f>D88-Январь!D88</f>
        <v>37.49000000000001</v>
      </c>
    </row>
    <row r="89" spans="1:9" ht="25.5">
      <c r="A89" s="9" t="s">
        <v>32</v>
      </c>
      <c r="B89" s="26">
        <v>10721.64</v>
      </c>
      <c r="C89" s="27">
        <v>612.28</v>
      </c>
      <c r="D89" s="34">
        <v>592.31</v>
      </c>
      <c r="E89" s="25">
        <f>$D:$D/$B:$B*100</f>
        <v>5.524434694692229</v>
      </c>
      <c r="F89" s="25">
        <f>$D:$D/$C:$C*100</f>
        <v>96.7384203305677</v>
      </c>
      <c r="G89" s="33">
        <v>510.76890999999995</v>
      </c>
      <c r="H89" s="25">
        <f>$D:$D/$G:$G*100</f>
        <v>115.9643800559435</v>
      </c>
      <c r="I89" s="33">
        <f>D89-Январь!D89</f>
        <v>472.30999999999995</v>
      </c>
    </row>
    <row r="90" spans="1:9" ht="12.75">
      <c r="A90" s="7" t="s">
        <v>33</v>
      </c>
      <c r="B90" s="33">
        <f>B91+B92+B93+B94</f>
        <v>203680.25999999998</v>
      </c>
      <c r="C90" s="33">
        <f>C91+C92+C93+C94</f>
        <v>14602.33</v>
      </c>
      <c r="D90" s="33">
        <f>D91+D92+D93+D94</f>
        <v>13908.4</v>
      </c>
      <c r="E90" s="33">
        <f>E91+E92+E93+E94</f>
        <v>22.262668948849146</v>
      </c>
      <c r="F90" s="33">
        <f>F91+F92+F93+F94</f>
        <v>166.18587947509735</v>
      </c>
      <c r="G90" s="33">
        <v>5082.763539999999</v>
      </c>
      <c r="H90" s="33">
        <f>H91+H92+H93+H94</f>
        <v>89.26190975943335</v>
      </c>
      <c r="I90" s="33">
        <f>I91+I92+I93+I94</f>
        <v>11423.109999999999</v>
      </c>
    </row>
    <row r="91" spans="1:9" ht="12.75" customHeight="1">
      <c r="A91" s="10" t="s">
        <v>67</v>
      </c>
      <c r="B91" s="27">
        <v>879.34</v>
      </c>
      <c r="C91" s="27">
        <v>0</v>
      </c>
      <c r="D91" s="27">
        <v>0</v>
      </c>
      <c r="E91" s="28">
        <v>0</v>
      </c>
      <c r="F91" s="28">
        <v>0</v>
      </c>
      <c r="G91" s="33"/>
      <c r="H91" s="28">
        <v>0</v>
      </c>
      <c r="I91" s="33">
        <f>D91-Январь!D92</f>
        <v>0</v>
      </c>
    </row>
    <row r="92" spans="1:9" ht="12.75">
      <c r="A92" s="8" t="s">
        <v>34</v>
      </c>
      <c r="B92" s="27">
        <v>29381</v>
      </c>
      <c r="C92" s="27">
        <v>2462.18</v>
      </c>
      <c r="D92" s="27">
        <v>2462.18</v>
      </c>
      <c r="E92" s="28">
        <f>$D:$D/$B:$B*100</f>
        <v>8.380177665838467</v>
      </c>
      <c r="F92" s="28">
        <v>0</v>
      </c>
      <c r="G92" s="33">
        <v>0</v>
      </c>
      <c r="H92" s="28">
        <v>0</v>
      </c>
      <c r="I92" s="33">
        <f>D92-Январь!D93</f>
        <v>2462.18</v>
      </c>
    </row>
    <row r="93" spans="1:9" ht="12.75">
      <c r="A93" s="10" t="s">
        <v>77</v>
      </c>
      <c r="B93" s="27">
        <v>155000.74</v>
      </c>
      <c r="C93" s="27">
        <v>10087.96</v>
      </c>
      <c r="D93" s="27">
        <v>10087.96</v>
      </c>
      <c r="E93" s="28">
        <f>$D:$D/$B:$B*100</f>
        <v>6.508330218294442</v>
      </c>
      <c r="F93" s="28">
        <f>$D:$D/$C:$C*100</f>
        <v>100</v>
      </c>
      <c r="G93" s="33">
        <v>2338.9037599999997</v>
      </c>
      <c r="H93" s="28">
        <v>0</v>
      </c>
      <c r="I93" s="33">
        <f>D93-Январь!D94</f>
        <v>7901.109999999999</v>
      </c>
    </row>
    <row r="94" spans="1:9" ht="12.75">
      <c r="A94" s="8" t="s">
        <v>35</v>
      </c>
      <c r="B94" s="27">
        <v>18419.18</v>
      </c>
      <c r="C94" s="27">
        <v>2052.19</v>
      </c>
      <c r="D94" s="27">
        <v>1358.26</v>
      </c>
      <c r="E94" s="28">
        <f>$D:$D/$B:$B*100</f>
        <v>7.374161064716237</v>
      </c>
      <c r="F94" s="28">
        <f>$D:$D/$C:$C*100</f>
        <v>66.18587947509734</v>
      </c>
      <c r="G94" s="33">
        <v>1521.65689</v>
      </c>
      <c r="H94" s="28">
        <f>$D:$D/$G:$G*100</f>
        <v>89.26190975943335</v>
      </c>
      <c r="I94" s="33">
        <f>D94-Январь!D95</f>
        <v>1059.82</v>
      </c>
    </row>
    <row r="95" spans="1:9" ht="12.75">
      <c r="A95" s="7" t="s">
        <v>36</v>
      </c>
      <c r="B95" s="33">
        <f>B97+B98+B99+B96</f>
        <v>343091.44</v>
      </c>
      <c r="C95" s="27">
        <f>C97+C98+C99+C96</f>
        <v>9592.01</v>
      </c>
      <c r="D95" s="33">
        <f>D97+D98+D99+D96</f>
        <v>9030.4</v>
      </c>
      <c r="E95" s="33">
        <f>E98+E99+E96</f>
        <v>8.954995905030016</v>
      </c>
      <c r="F95" s="25">
        <f>$D:$D/$C:$C*100</f>
        <v>94.14502278458842</v>
      </c>
      <c r="G95" s="33">
        <v>1222.2028899999998</v>
      </c>
      <c r="H95" s="33">
        <f>H97+H98+H99</f>
        <v>0</v>
      </c>
      <c r="I95" s="33">
        <f>D95-Январь!D96</f>
        <v>5897.5199999999995</v>
      </c>
    </row>
    <row r="96" spans="1:9" ht="12.75">
      <c r="A96" s="8" t="s">
        <v>37</v>
      </c>
      <c r="B96" s="27">
        <v>950</v>
      </c>
      <c r="C96" s="27">
        <v>0</v>
      </c>
      <c r="D96" s="27">
        <v>0</v>
      </c>
      <c r="E96" s="43">
        <v>0</v>
      </c>
      <c r="F96" s="28">
        <v>0</v>
      </c>
      <c r="G96" s="33">
        <v>7258.836570000001</v>
      </c>
      <c r="H96" s="28">
        <v>0</v>
      </c>
      <c r="I96" s="33">
        <f>D96-Январь!D97</f>
        <v>0</v>
      </c>
    </row>
    <row r="97" spans="1:9" ht="12.75">
      <c r="A97" s="8" t="s">
        <v>38</v>
      </c>
      <c r="B97" s="27">
        <v>4119.67</v>
      </c>
      <c r="C97" s="27">
        <v>0</v>
      </c>
      <c r="D97" s="27">
        <v>0</v>
      </c>
      <c r="E97" s="28">
        <f>$D:$D/$B:$B*100</f>
        <v>0</v>
      </c>
      <c r="F97" s="28">
        <v>0</v>
      </c>
      <c r="G97" s="33">
        <v>0</v>
      </c>
      <c r="H97" s="28">
        <v>0</v>
      </c>
      <c r="I97" s="33">
        <f>D97-Январь!D98</f>
        <v>0</v>
      </c>
    </row>
    <row r="98" spans="1:9" ht="12.75">
      <c r="A98" s="8" t="s">
        <v>39</v>
      </c>
      <c r="B98" s="27">
        <v>281394.28</v>
      </c>
      <c r="C98" s="27">
        <v>4956.9400000000005</v>
      </c>
      <c r="D98" s="27">
        <v>4956.94</v>
      </c>
      <c r="E98" s="28">
        <f>$D:$D/$B:$B*100</f>
        <v>1.7615638811137166</v>
      </c>
      <c r="F98" s="28">
        <f>$D:$D/$C:$C*100</f>
        <v>99.99999999999997</v>
      </c>
      <c r="G98" s="33">
        <v>0</v>
      </c>
      <c r="H98" s="28">
        <v>0</v>
      </c>
      <c r="I98" s="33">
        <f>D98-Январь!D99</f>
        <v>3294.5099999999993</v>
      </c>
    </row>
    <row r="99" spans="1:9" ht="12.75">
      <c r="A99" s="8" t="s">
        <v>40</v>
      </c>
      <c r="B99" s="27">
        <v>56627.49</v>
      </c>
      <c r="C99" s="27">
        <v>4635.07</v>
      </c>
      <c r="D99" s="27">
        <v>4073.46</v>
      </c>
      <c r="E99" s="28">
        <f>$D:$D/$B:$B*100</f>
        <v>7.193432023916299</v>
      </c>
      <c r="F99" s="28">
        <f>$D:$D/$C:$C*100</f>
        <v>87.88346238568134</v>
      </c>
      <c r="G99" s="33">
        <v>4603.010490000001</v>
      </c>
      <c r="H99" s="28">
        <v>0</v>
      </c>
      <c r="I99" s="33">
        <f>D99-Январь!D100</f>
        <v>2603.01</v>
      </c>
    </row>
    <row r="100" spans="1:9" ht="12.75">
      <c r="A100" s="11" t="s">
        <v>115</v>
      </c>
      <c r="B100" s="33">
        <f>B101</f>
        <v>14079.44</v>
      </c>
      <c r="C100" s="33">
        <f>C101</f>
        <v>246.56</v>
      </c>
      <c r="D100" s="33">
        <f>D101</f>
        <v>246.56</v>
      </c>
      <c r="E100" s="25">
        <f>$D:$D/$B:$B*100</f>
        <v>1.7512060138755516</v>
      </c>
      <c r="F100" s="25"/>
      <c r="G100" s="33">
        <v>2655.8260800000003</v>
      </c>
      <c r="H100" s="25">
        <v>0</v>
      </c>
      <c r="I100" s="33">
        <f>D100-Январь!D101</f>
        <v>246.56</v>
      </c>
    </row>
    <row r="101" spans="1:9" ht="38.25">
      <c r="A101" s="39" t="s">
        <v>155</v>
      </c>
      <c r="B101" s="75">
        <v>14079.44</v>
      </c>
      <c r="C101" s="75">
        <v>246.56</v>
      </c>
      <c r="D101" s="75">
        <v>246.56</v>
      </c>
      <c r="E101" s="28">
        <f>$D:$D/$B:$B*100</f>
        <v>1.7512060138755516</v>
      </c>
      <c r="F101" s="28"/>
      <c r="G101" s="33">
        <v>0</v>
      </c>
      <c r="H101" s="28">
        <v>0</v>
      </c>
      <c r="I101" s="33">
        <f>D101-Январь!D102</f>
        <v>246.56</v>
      </c>
    </row>
    <row r="102" spans="1:9" ht="12.75">
      <c r="A102" s="11" t="s">
        <v>41</v>
      </c>
      <c r="B102" s="33">
        <f>B103+B104+B106+B107+B108+B105</f>
        <v>1854281.2200000002</v>
      </c>
      <c r="C102" s="33">
        <f>C103+C104+C106+C107+C108+C105</f>
        <v>214514.81</v>
      </c>
      <c r="D102" s="33">
        <f>D103+D104+D106+D107+D108+D105</f>
        <v>214400.79</v>
      </c>
      <c r="E102" s="33">
        <f>E103+E104+E107+E108+E106</f>
        <v>50.38276095366297</v>
      </c>
      <c r="F102" s="33">
        <f>F103+F104+F107+F108+F106</f>
        <v>499.60015386538066</v>
      </c>
      <c r="G102" s="33">
        <v>0</v>
      </c>
      <c r="H102" s="33">
        <f>H103+H104+H107+H108+H106</f>
        <v>12961.624103309221</v>
      </c>
      <c r="I102" s="33">
        <f>D102-Январь!D103</f>
        <v>160496.42</v>
      </c>
    </row>
    <row r="103" spans="1:9" ht="12.75">
      <c r="A103" s="8" t="s">
        <v>42</v>
      </c>
      <c r="B103" s="27">
        <v>717907.48</v>
      </c>
      <c r="C103" s="27">
        <v>85655.04000000001</v>
      </c>
      <c r="D103" s="27">
        <v>85655.03</v>
      </c>
      <c r="E103" s="28">
        <f aca="true" t="shared" si="2" ref="E103:E121">$D:$D/$B:$B*100</f>
        <v>11.931207347219729</v>
      </c>
      <c r="F103" s="28">
        <f aca="true" t="shared" si="3" ref="F103:F111">$D:$D/$C:$C*100</f>
        <v>99.99998832526374</v>
      </c>
      <c r="G103" s="33">
        <v>182186.99302999998</v>
      </c>
      <c r="H103" s="28">
        <f>$D:$D/$G:$G*100</f>
        <v>47.014898580545506</v>
      </c>
      <c r="I103" s="33">
        <f>D103-Январь!D104</f>
        <v>63277.68</v>
      </c>
    </row>
    <row r="104" spans="1:9" ht="12.75">
      <c r="A104" s="8" t="s">
        <v>43</v>
      </c>
      <c r="B104" s="27">
        <v>746299.53</v>
      </c>
      <c r="C104" s="27">
        <v>86672.57</v>
      </c>
      <c r="D104" s="27">
        <v>86649.47</v>
      </c>
      <c r="E104" s="28">
        <f t="shared" si="2"/>
        <v>11.61054864928027</v>
      </c>
      <c r="F104" s="28">
        <f t="shared" si="3"/>
        <v>99.97334796925948</v>
      </c>
      <c r="G104" s="33">
        <v>71355.39703000001</v>
      </c>
      <c r="H104" s="28">
        <f>$D:$D/$G:$G*100</f>
        <v>121.4336596901982</v>
      </c>
      <c r="I104" s="33">
        <f>D104-Январь!D105</f>
        <v>65093.01</v>
      </c>
    </row>
    <row r="105" spans="1:9" ht="12.75">
      <c r="A105" s="21" t="s">
        <v>105</v>
      </c>
      <c r="B105" s="27">
        <v>145392.37</v>
      </c>
      <c r="C105" s="27">
        <v>15864.33</v>
      </c>
      <c r="D105" s="27">
        <v>15864.32</v>
      </c>
      <c r="E105" s="28">
        <f t="shared" si="2"/>
        <v>10.911384139346515</v>
      </c>
      <c r="F105" s="28">
        <f t="shared" si="3"/>
        <v>99.99993696550689</v>
      </c>
      <c r="G105" s="33">
        <v>72898.74029999999</v>
      </c>
      <c r="H105" s="28">
        <f>$D:$D/$G:$G*100</f>
        <v>21.762131875960552</v>
      </c>
      <c r="I105" s="33">
        <f>D105-Январь!D106</f>
        <v>11990.96</v>
      </c>
    </row>
    <row r="106" spans="1:9" ht="25.5">
      <c r="A106" s="8" t="s">
        <v>123</v>
      </c>
      <c r="B106" s="27">
        <v>372.36</v>
      </c>
      <c r="C106" s="27">
        <v>28.2</v>
      </c>
      <c r="D106" s="27">
        <v>28.2</v>
      </c>
      <c r="E106" s="28">
        <f t="shared" si="2"/>
        <v>7.573316145665484</v>
      </c>
      <c r="F106" s="28">
        <f t="shared" si="3"/>
        <v>100</v>
      </c>
      <c r="G106" s="33">
        <v>15189.98418</v>
      </c>
      <c r="H106" s="28">
        <v>0</v>
      </c>
      <c r="I106" s="33">
        <f>D106-Январь!D107</f>
        <v>28.2</v>
      </c>
    </row>
    <row r="107" spans="1:9" ht="12.75">
      <c r="A107" s="8" t="s">
        <v>44</v>
      </c>
      <c r="B107" s="27">
        <v>23378.76</v>
      </c>
      <c r="C107" s="27">
        <v>1936.6100000000001</v>
      </c>
      <c r="D107" s="27">
        <v>1936.61</v>
      </c>
      <c r="E107" s="28">
        <f t="shared" si="2"/>
        <v>8.283630098431226</v>
      </c>
      <c r="F107" s="28">
        <f t="shared" si="3"/>
        <v>99.99999999999999</v>
      </c>
      <c r="G107" s="33">
        <v>16.4</v>
      </c>
      <c r="H107" s="28">
        <f>$D:$D/$G:$G*100</f>
        <v>11808.59756097561</v>
      </c>
      <c r="I107" s="33">
        <f>D107-Январь!D108</f>
        <v>1495.21</v>
      </c>
    </row>
    <row r="108" spans="1:9" ht="12.75">
      <c r="A108" s="8" t="s">
        <v>45</v>
      </c>
      <c r="B108" s="27">
        <v>220930.72</v>
      </c>
      <c r="C108" s="27">
        <v>24358.059999999998</v>
      </c>
      <c r="D108" s="27">
        <v>24267.16</v>
      </c>
      <c r="E108" s="28">
        <f t="shared" si="2"/>
        <v>10.98405871306625</v>
      </c>
      <c r="F108" s="28">
        <f t="shared" si="3"/>
        <v>99.62681757085747</v>
      </c>
      <c r="G108" s="33">
        <v>2464.72706</v>
      </c>
      <c r="H108" s="28">
        <f>$D:$D/$G:$G*100</f>
        <v>984.5779840628682</v>
      </c>
      <c r="I108" s="33">
        <f>D108-Январь!D109</f>
        <v>18611.36</v>
      </c>
    </row>
    <row r="109" spans="1:9" ht="25.5">
      <c r="A109" s="11" t="s">
        <v>46</v>
      </c>
      <c r="B109" s="33">
        <f>B110+B111</f>
        <v>307737.44</v>
      </c>
      <c r="C109" s="33">
        <f>C110+C111</f>
        <v>18475.29</v>
      </c>
      <c r="D109" s="33">
        <f>D110+D111</f>
        <v>18460.04</v>
      </c>
      <c r="E109" s="25">
        <f t="shared" si="2"/>
        <v>5.998633120493886</v>
      </c>
      <c r="F109" s="25">
        <f t="shared" si="3"/>
        <v>99.9174573173141</v>
      </c>
      <c r="G109" s="33">
        <v>20261.74446</v>
      </c>
      <c r="H109" s="25">
        <f>$D:$D/$G:$G*100</f>
        <v>91.10785123385176</v>
      </c>
      <c r="I109" s="33">
        <f>D109-Январь!D110</f>
        <v>13351.390000000001</v>
      </c>
    </row>
    <row r="110" spans="1:9" ht="12.75">
      <c r="A110" s="8" t="s">
        <v>47</v>
      </c>
      <c r="B110" s="27">
        <v>219701.1</v>
      </c>
      <c r="C110" s="27">
        <v>18058.61</v>
      </c>
      <c r="D110" s="27">
        <v>18058.61</v>
      </c>
      <c r="E110" s="28">
        <f t="shared" si="2"/>
        <v>8.219626574468677</v>
      </c>
      <c r="F110" s="28">
        <f t="shared" si="3"/>
        <v>100</v>
      </c>
      <c r="G110" s="33">
        <v>14619.80097</v>
      </c>
      <c r="H110" s="28">
        <f>$D:$D/$G:$G*100</f>
        <v>123.52158580719721</v>
      </c>
      <c r="I110" s="33">
        <f>D110-Январь!D111</f>
        <v>13037.91</v>
      </c>
    </row>
    <row r="111" spans="1:9" ht="25.5">
      <c r="A111" s="8" t="s">
        <v>48</v>
      </c>
      <c r="B111" s="27">
        <v>88036.34</v>
      </c>
      <c r="C111" s="27">
        <v>416.68</v>
      </c>
      <c r="D111" s="27">
        <v>401.43</v>
      </c>
      <c r="E111" s="28">
        <f t="shared" si="2"/>
        <v>0.455982154642049</v>
      </c>
      <c r="F111" s="28">
        <f t="shared" si="3"/>
        <v>96.34011711625227</v>
      </c>
      <c r="G111" s="33">
        <v>14346.506</v>
      </c>
      <c r="H111" s="28">
        <v>0</v>
      </c>
      <c r="I111" s="33">
        <f>D111-Январь!D112</f>
        <v>313.48</v>
      </c>
    </row>
    <row r="112" spans="1:9" ht="12.75">
      <c r="A112" s="11" t="s">
        <v>97</v>
      </c>
      <c r="B112" s="33">
        <f>B113</f>
        <v>163.45</v>
      </c>
      <c r="C112" s="33">
        <f>C113</f>
        <v>0</v>
      </c>
      <c r="D112" s="33">
        <f>D113</f>
        <v>0</v>
      </c>
      <c r="E112" s="25">
        <f t="shared" si="2"/>
        <v>0</v>
      </c>
      <c r="F112" s="25">
        <v>0</v>
      </c>
      <c r="G112" s="33">
        <v>273.29497</v>
      </c>
      <c r="H112" s="25">
        <v>0</v>
      </c>
      <c r="I112" s="33">
        <f>D112-Январь!D113</f>
        <v>0</v>
      </c>
    </row>
    <row r="113" spans="1:9" ht="12.75">
      <c r="A113" s="8" t="s">
        <v>98</v>
      </c>
      <c r="B113" s="27">
        <v>163.45</v>
      </c>
      <c r="C113" s="27">
        <v>0</v>
      </c>
      <c r="D113" s="27">
        <v>0</v>
      </c>
      <c r="E113" s="28">
        <f t="shared" si="2"/>
        <v>0</v>
      </c>
      <c r="F113" s="28">
        <v>0</v>
      </c>
      <c r="G113" s="33">
        <v>0</v>
      </c>
      <c r="H113" s="28">
        <v>0</v>
      </c>
      <c r="I113" s="33">
        <f>D113-Январь!D114</f>
        <v>0</v>
      </c>
    </row>
    <row r="114" spans="1:9" ht="12.75">
      <c r="A114" s="11" t="s">
        <v>49</v>
      </c>
      <c r="B114" s="33">
        <f>B115+B116+B117+B118+B119</f>
        <v>161018.22999999998</v>
      </c>
      <c r="C114" s="33">
        <f>C115+C116+C117+C118+C119</f>
        <v>8698.07</v>
      </c>
      <c r="D114" s="33">
        <f>D115+D116+D117+D118+D119</f>
        <v>8527.4</v>
      </c>
      <c r="E114" s="25">
        <f t="shared" si="2"/>
        <v>5.295922082859811</v>
      </c>
      <c r="F114" s="25">
        <f>$D:$D/$C:$C*100</f>
        <v>98.03784057842716</v>
      </c>
      <c r="G114" s="33">
        <v>0</v>
      </c>
      <c r="H114" s="25">
        <v>0</v>
      </c>
      <c r="I114" s="33">
        <f>D114-Январь!D115</f>
        <v>7823.11</v>
      </c>
    </row>
    <row r="115" spans="1:9" ht="12.75">
      <c r="A115" s="8" t="s">
        <v>50</v>
      </c>
      <c r="B115" s="27">
        <v>3025.38</v>
      </c>
      <c r="C115" s="27">
        <v>188.64</v>
      </c>
      <c r="D115" s="27">
        <v>188.64</v>
      </c>
      <c r="E115" s="28">
        <f t="shared" si="2"/>
        <v>6.2352497868036405</v>
      </c>
      <c r="F115" s="28">
        <v>0</v>
      </c>
      <c r="G115" s="33">
        <v>8758.95276</v>
      </c>
      <c r="H115" s="28">
        <v>0</v>
      </c>
      <c r="I115" s="33">
        <f>D115-Январь!D116</f>
        <v>188.64</v>
      </c>
    </row>
    <row r="116" spans="1:9" ht="12.75" customHeight="1" hidden="1">
      <c r="A116" s="8" t="s">
        <v>51</v>
      </c>
      <c r="B116" s="27"/>
      <c r="C116" s="27"/>
      <c r="D116" s="27"/>
      <c r="E116" s="28" t="e">
        <f t="shared" si="2"/>
        <v>#DIV/0!</v>
      </c>
      <c r="F116" s="28" t="e">
        <f>$D:$D/$C:$C*100</f>
        <v>#DIV/0!</v>
      </c>
      <c r="G116" s="33">
        <v>210.98405</v>
      </c>
      <c r="H116" s="28">
        <f>$D:$D/$G:$G*100</f>
        <v>0</v>
      </c>
      <c r="I116" s="33">
        <f>D116-Январь!D117</f>
        <v>0</v>
      </c>
    </row>
    <row r="117" spans="1:9" ht="12.75">
      <c r="A117" s="8" t="s">
        <v>52</v>
      </c>
      <c r="B117" s="27">
        <v>106012.55</v>
      </c>
      <c r="C117" s="27">
        <v>7672</v>
      </c>
      <c r="D117" s="27">
        <v>7672</v>
      </c>
      <c r="E117" s="28">
        <f t="shared" si="2"/>
        <v>7.236879029888442</v>
      </c>
      <c r="F117" s="28">
        <f>$D:$D/$C:$C*100</f>
        <v>100</v>
      </c>
      <c r="G117" s="33">
        <v>7887</v>
      </c>
      <c r="H117" s="28">
        <v>0</v>
      </c>
      <c r="I117" s="33">
        <f>D117-Январь!D118</f>
        <v>7315</v>
      </c>
    </row>
    <row r="118" spans="1:9" ht="12.75">
      <c r="A118" s="8" t="s">
        <v>53</v>
      </c>
      <c r="B118" s="27">
        <v>49450.5</v>
      </c>
      <c r="C118" s="27">
        <v>605</v>
      </c>
      <c r="D118" s="27">
        <v>513.86</v>
      </c>
      <c r="E118" s="28">
        <f t="shared" si="2"/>
        <v>1.0391401502512614</v>
      </c>
      <c r="F118" s="28">
        <v>0</v>
      </c>
      <c r="G118" s="33">
        <v>512.68483</v>
      </c>
      <c r="H118" s="28">
        <v>0</v>
      </c>
      <c r="I118" s="33">
        <f>D118-Январь!D119</f>
        <v>203.86</v>
      </c>
    </row>
    <row r="119" spans="1:9" ht="12.75">
      <c r="A119" s="8" t="s">
        <v>54</v>
      </c>
      <c r="B119" s="27">
        <v>2529.8</v>
      </c>
      <c r="C119" s="27">
        <v>232.43</v>
      </c>
      <c r="D119" s="27">
        <v>152.9</v>
      </c>
      <c r="E119" s="28">
        <f t="shared" si="2"/>
        <v>6.043956043956044</v>
      </c>
      <c r="F119" s="28">
        <f>$D:$D/$C:$C*100</f>
        <v>65.78324656885944</v>
      </c>
      <c r="G119" s="33">
        <v>148.28388</v>
      </c>
      <c r="H119" s="28">
        <f>$D:$D/$G:$G*100</f>
        <v>103.11302887407585</v>
      </c>
      <c r="I119" s="33">
        <f>D119-Январь!D120</f>
        <v>115.61000000000001</v>
      </c>
    </row>
    <row r="120" spans="1:9" ht="12.75">
      <c r="A120" s="11" t="s">
        <v>61</v>
      </c>
      <c r="B120" s="26">
        <f>B121+B122+B123</f>
        <v>351596.02999999997</v>
      </c>
      <c r="C120" s="27">
        <f>C121+C122+C123</f>
        <v>18709.370000000003</v>
      </c>
      <c r="D120" s="27">
        <f>D121+D122+D123</f>
        <v>18600.64</v>
      </c>
      <c r="E120" s="25">
        <f t="shared" si="2"/>
        <v>5.290344148652646</v>
      </c>
      <c r="F120" s="25">
        <f>$D:$D/$C:$C*100</f>
        <v>99.41884734761244</v>
      </c>
      <c r="G120" s="33">
        <v>10623.72898</v>
      </c>
      <c r="H120" s="25">
        <f>$D:$D/$G:$G*100</f>
        <v>175.085791768758</v>
      </c>
      <c r="I120" s="33">
        <f>D120-Январь!D121</f>
        <v>13225.27</v>
      </c>
    </row>
    <row r="121" spans="1:9" ht="12.75">
      <c r="A121" s="76" t="s">
        <v>63</v>
      </c>
      <c r="B121" s="27">
        <v>290769.31</v>
      </c>
      <c r="C121" s="27">
        <v>10783.57</v>
      </c>
      <c r="D121" s="27">
        <v>10783.57</v>
      </c>
      <c r="E121" s="28">
        <f t="shared" si="2"/>
        <v>3.7086341746314284</v>
      </c>
      <c r="F121" s="28">
        <f>$D:$D/$C:$C*100</f>
        <v>100</v>
      </c>
      <c r="G121" s="33">
        <v>9797.77285</v>
      </c>
      <c r="H121" s="28">
        <v>0</v>
      </c>
      <c r="I121" s="33">
        <f>D121-Январь!D122</f>
        <v>7504.91</v>
      </c>
    </row>
    <row r="122" spans="1:9" ht="24.75" customHeight="1">
      <c r="A122" s="76" t="s">
        <v>154</v>
      </c>
      <c r="B122" s="27">
        <v>55775.05</v>
      </c>
      <c r="C122" s="27">
        <v>7158.56</v>
      </c>
      <c r="D122" s="27">
        <v>7158.56</v>
      </c>
      <c r="E122" s="28">
        <v>0</v>
      </c>
      <c r="F122" s="28">
        <v>0</v>
      </c>
      <c r="G122" s="33">
        <v>372.49014</v>
      </c>
      <c r="H122" s="28">
        <v>0</v>
      </c>
      <c r="I122" s="33">
        <f>D122-Январь!D123</f>
        <v>5319.1</v>
      </c>
    </row>
    <row r="123" spans="1:9" ht="25.5">
      <c r="A123" s="12" t="s">
        <v>73</v>
      </c>
      <c r="B123" s="27">
        <v>5051.67</v>
      </c>
      <c r="C123" s="27">
        <v>767.24</v>
      </c>
      <c r="D123" s="27">
        <v>658.51</v>
      </c>
      <c r="E123" s="28">
        <f>$D:$D/$B:$B*100</f>
        <v>13.035491233592058</v>
      </c>
      <c r="F123" s="28">
        <f>$D:$D/$C:$C*100</f>
        <v>85.82842396121161</v>
      </c>
      <c r="G123" s="33">
        <v>453.46599</v>
      </c>
      <c r="H123" s="28">
        <v>0</v>
      </c>
      <c r="I123" s="33">
        <f>D123-Январь!D124</f>
        <v>401.26</v>
      </c>
    </row>
    <row r="124" spans="1:9" ht="26.25" customHeight="1">
      <c r="A124" s="13" t="s">
        <v>80</v>
      </c>
      <c r="B124" s="26">
        <f>B125</f>
        <v>100</v>
      </c>
      <c r="C124" s="26">
        <f>C125</f>
        <v>5.75</v>
      </c>
      <c r="D124" s="26">
        <f>D125</f>
        <v>5.75</v>
      </c>
      <c r="E124" s="28">
        <f>$D:$D/$B:$B*100</f>
        <v>5.75</v>
      </c>
      <c r="F124" s="28">
        <v>0</v>
      </c>
      <c r="G124" s="33">
        <v>2.01384</v>
      </c>
      <c r="H124" s="28">
        <v>0</v>
      </c>
      <c r="I124" s="33">
        <f>D124-Январь!D125</f>
        <v>5.75</v>
      </c>
    </row>
    <row r="125" spans="1:9" ht="13.5" customHeight="1">
      <c r="A125" s="12" t="s">
        <v>81</v>
      </c>
      <c r="B125" s="27">
        <v>100</v>
      </c>
      <c r="C125" s="27">
        <v>5.75</v>
      </c>
      <c r="D125" s="27">
        <v>5.75</v>
      </c>
      <c r="E125" s="28">
        <f>$D:$D/$B:$B*100</f>
        <v>5.75</v>
      </c>
      <c r="F125" s="28">
        <v>0</v>
      </c>
      <c r="G125" s="33">
        <v>2.01384</v>
      </c>
      <c r="H125" s="28">
        <v>0</v>
      </c>
      <c r="I125" s="33">
        <f>D125-Январь!D126</f>
        <v>5.75</v>
      </c>
    </row>
    <row r="126" spans="1:9" ht="15.75" customHeight="1">
      <c r="A126" s="14" t="s">
        <v>55</v>
      </c>
      <c r="B126" s="33">
        <f>B79+B88+B89+B90+B95+B102+B109+B112+B114+B120+B124+B100</f>
        <v>3683540.8</v>
      </c>
      <c r="C126" s="33">
        <f>C79+C88+C89+C90+C95+C102+C109+C112+C114+C120+C124+C100</f>
        <v>345022.18</v>
      </c>
      <c r="D126" s="33">
        <f>D79+D88+D89+D90+D95+D102+D109+D112+D114+D120+D124+D100</f>
        <v>339783.27</v>
      </c>
      <c r="E126" s="25">
        <f>$D:$D/$B:$B*100</f>
        <v>9.224365588674898</v>
      </c>
      <c r="F126" s="25">
        <f>$D:$D/$C:$C*100</f>
        <v>98.48157298177179</v>
      </c>
      <c r="G126" s="33">
        <v>242942.72780000002</v>
      </c>
      <c r="H126" s="25">
        <f>$D:$D/$G:$G*100</f>
        <v>139.86146985215498</v>
      </c>
      <c r="I126" s="33">
        <f>D126-Январь!D127</f>
        <v>264864.21</v>
      </c>
    </row>
    <row r="127" spans="1:9" ht="26.25" customHeight="1">
      <c r="A127" s="79" t="s">
        <v>56</v>
      </c>
      <c r="B127" s="80">
        <f>B73-B126</f>
        <v>-125350.23999999976</v>
      </c>
      <c r="C127" s="80">
        <f>C73-C126</f>
        <v>-31064.140000000014</v>
      </c>
      <c r="D127" s="80">
        <f>D73-D126</f>
        <v>27826.380000000005</v>
      </c>
      <c r="E127" s="80"/>
      <c r="F127" s="80"/>
      <c r="G127" s="80">
        <v>52519.868679999985</v>
      </c>
      <c r="H127" s="80"/>
      <c r="I127" s="80">
        <f>I73-I126</f>
        <v>57395.859999999986</v>
      </c>
    </row>
    <row r="128" spans="1:9" ht="24" customHeight="1">
      <c r="A128" s="1" t="s">
        <v>57</v>
      </c>
      <c r="B128" s="27" t="s">
        <v>159</v>
      </c>
      <c r="C128" s="27"/>
      <c r="D128" s="27" t="s">
        <v>158</v>
      </c>
      <c r="E128" s="27"/>
      <c r="F128" s="27"/>
      <c r="G128" s="27" t="s">
        <v>160</v>
      </c>
      <c r="H128" s="26"/>
      <c r="I128" s="27"/>
    </row>
    <row r="129" spans="1:9" ht="12.75">
      <c r="A129" s="3" t="s">
        <v>58</v>
      </c>
      <c r="B129" s="77">
        <f>B131+B132</f>
        <v>99223.6</v>
      </c>
      <c r="C129" s="77">
        <f aca="true" t="shared" si="4" ref="C129:H129">C131+C132</f>
        <v>0</v>
      </c>
      <c r="D129" s="77">
        <f t="shared" si="4"/>
        <v>92049.9</v>
      </c>
      <c r="E129" s="77">
        <f t="shared" si="4"/>
        <v>0</v>
      </c>
      <c r="F129" s="77">
        <f t="shared" si="4"/>
        <v>0</v>
      </c>
      <c r="G129" s="77">
        <v>83341.6</v>
      </c>
      <c r="H129" s="77">
        <f t="shared" si="4"/>
        <v>0</v>
      </c>
      <c r="I129" s="26">
        <f>I131+I132</f>
        <v>92049.9</v>
      </c>
    </row>
    <row r="130" spans="1:9" ht="12" customHeight="1">
      <c r="A130" s="1" t="s">
        <v>6</v>
      </c>
      <c r="B130" s="78"/>
      <c r="C130" s="27"/>
      <c r="D130" s="27" t="s">
        <v>148</v>
      </c>
      <c r="E130" s="27"/>
      <c r="F130" s="27"/>
      <c r="G130" s="27"/>
      <c r="H130" s="35"/>
      <c r="I130" s="27"/>
    </row>
    <row r="131" spans="1:9" ht="12.75">
      <c r="A131" s="5" t="s">
        <v>59</v>
      </c>
      <c r="B131" s="78">
        <v>53815.7</v>
      </c>
      <c r="C131" s="27"/>
      <c r="D131" s="27">
        <v>45806.8</v>
      </c>
      <c r="E131" s="27"/>
      <c r="F131" s="27"/>
      <c r="G131" s="27">
        <v>3594.5</v>
      </c>
      <c r="H131" s="35"/>
      <c r="I131" s="27">
        <f>D131</f>
        <v>45806.8</v>
      </c>
    </row>
    <row r="132" spans="1:9" ht="12.75">
      <c r="A132" s="1" t="s">
        <v>60</v>
      </c>
      <c r="B132" s="78">
        <f>99223.6-B131</f>
        <v>45407.90000000001</v>
      </c>
      <c r="C132" s="27"/>
      <c r="D132" s="27">
        <f>92049.9-D131</f>
        <v>46243.09999999999</v>
      </c>
      <c r="E132" s="27"/>
      <c r="F132" s="27"/>
      <c r="G132" s="27">
        <v>79747.1</v>
      </c>
      <c r="H132" s="35"/>
      <c r="I132" s="27">
        <f>D132</f>
        <v>46243.09999999999</v>
      </c>
    </row>
    <row r="133" spans="1:9" ht="12.75">
      <c r="A133" s="3" t="s">
        <v>99</v>
      </c>
      <c r="B133" s="26">
        <f>B134-B135</f>
        <v>22950</v>
      </c>
      <c r="C133" s="26">
        <f aca="true" t="shared" si="5" ref="C133:H133">C134-C135</f>
        <v>-35000</v>
      </c>
      <c r="D133" s="26">
        <f t="shared" si="5"/>
        <v>-35000</v>
      </c>
      <c r="E133" s="26">
        <f t="shared" si="5"/>
        <v>0</v>
      </c>
      <c r="F133" s="26">
        <f t="shared" si="5"/>
        <v>0</v>
      </c>
      <c r="G133" s="26">
        <v>-12050</v>
      </c>
      <c r="H133" s="26">
        <f t="shared" si="5"/>
        <v>0</v>
      </c>
      <c r="I133" s="38"/>
    </row>
    <row r="134" spans="1:9" ht="12.75">
      <c r="A134" s="2" t="s">
        <v>100</v>
      </c>
      <c r="B134" s="27">
        <v>35000</v>
      </c>
      <c r="C134" s="27">
        <v>0</v>
      </c>
      <c r="D134" s="27">
        <v>0</v>
      </c>
      <c r="E134" s="36"/>
      <c r="F134" s="36"/>
      <c r="G134" s="27">
        <v>0</v>
      </c>
      <c r="H134" s="37"/>
      <c r="I134" s="36">
        <v>0</v>
      </c>
    </row>
    <row r="135" spans="1:9" ht="12.75">
      <c r="A135" s="2" t="s">
        <v>101</v>
      </c>
      <c r="B135" s="27">
        <v>12050</v>
      </c>
      <c r="C135" s="27">
        <v>35000</v>
      </c>
      <c r="D135" s="27">
        <v>35000</v>
      </c>
      <c r="E135" s="36"/>
      <c r="F135" s="36"/>
      <c r="G135" s="27">
        <v>12050</v>
      </c>
      <c r="H135" s="37"/>
      <c r="I135" s="36">
        <v>0</v>
      </c>
    </row>
    <row r="136" spans="1:9" ht="12.75">
      <c r="A136" s="15"/>
      <c r="B136" s="24"/>
      <c r="C136" s="24"/>
      <c r="D136" s="24"/>
      <c r="E136" s="24"/>
      <c r="F136" s="24"/>
      <c r="G136" s="24"/>
      <c r="H136" s="24"/>
      <c r="I136" s="24"/>
    </row>
    <row r="138" ht="12" customHeight="1">
      <c r="A138" s="21" t="s">
        <v>79</v>
      </c>
    </row>
    <row r="139" ht="12.75" customHeight="1" hidden="1"/>
    <row r="141" spans="1:9" ht="31.5">
      <c r="A141" s="16" t="s">
        <v>103</v>
      </c>
      <c r="B141" s="23"/>
      <c r="C141" s="23"/>
      <c r="D141" s="23" t="s">
        <v>137</v>
      </c>
      <c r="E141" s="23"/>
      <c r="F141" s="23"/>
      <c r="G141" s="23"/>
      <c r="H141" s="23"/>
      <c r="I141" s="24"/>
    </row>
  </sheetData>
  <sheetProtection/>
  <mergeCells count="5">
    <mergeCell ref="A1:H1"/>
    <mergeCell ref="A2:H2"/>
    <mergeCell ref="A3:H3"/>
    <mergeCell ref="A6:I6"/>
    <mergeCell ref="A78:I78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2"/>
  <sheetViews>
    <sheetView view="pageBreakPreview" zoomScaleSheetLayoutView="100" zoomScalePageLayoutView="0" workbookViewId="0" topLeftCell="A1">
      <pane xSplit="1" ySplit="6" topLeftCell="B11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H4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85" customWidth="1"/>
    <col min="8" max="8" width="11.875" style="22" customWidth="1"/>
    <col min="9" max="9" width="10.00390625" style="22" customWidth="1"/>
    <col min="10" max="16384" width="9.125" style="21" customWidth="1"/>
  </cols>
  <sheetData>
    <row r="1" spans="1:9" ht="12.75">
      <c r="A1" s="117" t="s">
        <v>102</v>
      </c>
      <c r="B1" s="117"/>
      <c r="C1" s="117"/>
      <c r="D1" s="117"/>
      <c r="E1" s="117"/>
      <c r="F1" s="117"/>
      <c r="G1" s="117"/>
      <c r="H1" s="117"/>
      <c r="I1" s="86"/>
    </row>
    <row r="2" spans="1:9" ht="12.75">
      <c r="A2" s="118" t="s">
        <v>163</v>
      </c>
      <c r="B2" s="118"/>
      <c r="C2" s="118"/>
      <c r="D2" s="118"/>
      <c r="E2" s="118"/>
      <c r="F2" s="118"/>
      <c r="G2" s="118"/>
      <c r="H2" s="118"/>
      <c r="I2" s="87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1"/>
    </row>
    <row r="4" spans="1:9" ht="45" customHeight="1">
      <c r="A4" s="4" t="s">
        <v>1</v>
      </c>
      <c r="B4" s="17" t="s">
        <v>2</v>
      </c>
      <c r="C4" s="17" t="s">
        <v>169</v>
      </c>
      <c r="D4" s="17" t="s">
        <v>68</v>
      </c>
      <c r="E4" s="17" t="s">
        <v>66</v>
      </c>
      <c r="F4" s="17" t="s">
        <v>69</v>
      </c>
      <c r="G4" s="17" t="s">
        <v>156</v>
      </c>
      <c r="H4" s="17" t="s">
        <v>65</v>
      </c>
      <c r="I4" s="17" t="s">
        <v>71</v>
      </c>
    </row>
    <row r="5" spans="1:9" ht="12.75">
      <c r="A5" s="88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ht="12.75">
      <c r="A6" s="119" t="s">
        <v>3</v>
      </c>
      <c r="B6" s="119"/>
      <c r="C6" s="119"/>
      <c r="D6" s="119"/>
      <c r="E6" s="119"/>
      <c r="F6" s="119"/>
      <c r="G6" s="119"/>
      <c r="H6" s="119"/>
      <c r="I6" s="120"/>
    </row>
    <row r="7" spans="1:9" ht="12.75">
      <c r="A7" s="46" t="s">
        <v>104</v>
      </c>
      <c r="B7" s="33">
        <f>B8+B17+B22+B27+B30+B38+B47+B48+B49+B53+B64</f>
        <v>722378.16</v>
      </c>
      <c r="C7" s="33">
        <f>C8+C17+C22+C27+C30+C38+C47+C48+C49+C53+C64</f>
        <v>105759.7</v>
      </c>
      <c r="D7" s="33">
        <f>D8+D17+D22+D27+D30+D38+D47+D48+D49+D53+D64+D37</f>
        <v>123074.50000000003</v>
      </c>
      <c r="E7" s="25">
        <f>D7/B7*100</f>
        <v>17.037406003525913</v>
      </c>
      <c r="F7" s="25">
        <v>27699.089999999997</v>
      </c>
      <c r="G7" s="33">
        <f>G8+G17+G22+G27+G30+G37+G46+G47+G48+G52+G63</f>
        <v>159277.89248000004</v>
      </c>
      <c r="H7" s="25">
        <f>C7/G7*100</f>
        <v>66.39948479559388</v>
      </c>
      <c r="I7" s="33">
        <f>D7-Февраль!D7</f>
        <v>95792.56000000003</v>
      </c>
    </row>
    <row r="8" spans="1:9" ht="12.75">
      <c r="A8" s="47" t="s">
        <v>4</v>
      </c>
      <c r="B8" s="25">
        <f>B9+B10</f>
        <v>365325.60000000003</v>
      </c>
      <c r="C8" s="25">
        <f>C9+C10</f>
        <v>53091</v>
      </c>
      <c r="D8" s="25">
        <f>D9+D10</f>
        <v>65152.500000000015</v>
      </c>
      <c r="E8" s="25">
        <f aca="true" t="shared" si="0" ref="E8:E73">D8/B8*100</f>
        <v>17.8340910136054</v>
      </c>
      <c r="F8" s="25">
        <v>10645.39</v>
      </c>
      <c r="G8" s="25">
        <f>G9+G10</f>
        <v>110052.13650000001</v>
      </c>
      <c r="H8" s="25">
        <f aca="true" t="shared" si="1" ref="H8:H73">C8/G8*100</f>
        <v>48.241680432982776</v>
      </c>
      <c r="I8" s="33">
        <f>D8-Февраль!D8</f>
        <v>49114.80000000002</v>
      </c>
    </row>
    <row r="9" spans="1:9" ht="25.5">
      <c r="A9" s="54" t="s">
        <v>5</v>
      </c>
      <c r="B9" s="27">
        <v>8631</v>
      </c>
      <c r="C9" s="27">
        <v>1550</v>
      </c>
      <c r="D9" s="27">
        <v>4320.8</v>
      </c>
      <c r="E9" s="27">
        <f t="shared" si="0"/>
        <v>50.061406557756925</v>
      </c>
      <c r="F9" s="25">
        <v>200.86</v>
      </c>
      <c r="G9" s="26">
        <f>2018091.26/1000</f>
        <v>2018.09126</v>
      </c>
      <c r="H9" s="25">
        <f t="shared" si="1"/>
        <v>76.80524814323807</v>
      </c>
      <c r="I9" s="33">
        <f>D9-Февраль!D9</f>
        <v>3930.61</v>
      </c>
    </row>
    <row r="10" spans="1:9" ht="12.75" customHeight="1">
      <c r="A10" s="54" t="s">
        <v>70</v>
      </c>
      <c r="B10" s="33">
        <f>SUM(B11:B16)</f>
        <v>356694.60000000003</v>
      </c>
      <c r="C10" s="33">
        <f>SUM(C11:C16)</f>
        <v>51541</v>
      </c>
      <c r="D10" s="33">
        <f>SUM(D11:D16)</f>
        <v>60831.70000000001</v>
      </c>
      <c r="E10" s="25">
        <f t="shared" si="0"/>
        <v>17.054281169381316</v>
      </c>
      <c r="F10" s="25">
        <v>10444.529999999999</v>
      </c>
      <c r="G10" s="33">
        <f>SUM(G11:G15)</f>
        <v>108034.04524</v>
      </c>
      <c r="H10" s="25">
        <f t="shared" si="1"/>
        <v>47.70810894426894</v>
      </c>
      <c r="I10" s="33">
        <f>D10-Февраль!D10</f>
        <v>45184.19000000002</v>
      </c>
    </row>
    <row r="11" spans="1:9" ht="51">
      <c r="A11" s="51" t="s">
        <v>74</v>
      </c>
      <c r="B11" s="27">
        <v>336860.2</v>
      </c>
      <c r="C11" s="27">
        <v>47000</v>
      </c>
      <c r="D11" s="27">
        <v>59705.3</v>
      </c>
      <c r="E11" s="27">
        <f t="shared" si="0"/>
        <v>17.724058823215092</v>
      </c>
      <c r="F11" s="27">
        <v>10058</v>
      </c>
      <c r="G11" s="27">
        <f>59420453.9/1000</f>
        <v>59420.4539</v>
      </c>
      <c r="H11" s="25">
        <f t="shared" si="1"/>
        <v>79.09734260713886</v>
      </c>
      <c r="I11" s="33">
        <f>D11-Февраль!D11</f>
        <v>44168.8</v>
      </c>
    </row>
    <row r="12" spans="1:9" ht="51" customHeight="1">
      <c r="A12" s="51" t="s">
        <v>75</v>
      </c>
      <c r="B12" s="27">
        <v>1745</v>
      </c>
      <c r="C12" s="27">
        <v>81</v>
      </c>
      <c r="D12" s="27">
        <v>-166.2</v>
      </c>
      <c r="E12" s="27">
        <f t="shared" si="0"/>
        <v>-9.524355300859598</v>
      </c>
      <c r="F12" s="27">
        <v>81.56</v>
      </c>
      <c r="G12" s="27">
        <f>115505.25/1000</f>
        <v>115.50525</v>
      </c>
      <c r="H12" s="25">
        <f t="shared" si="1"/>
        <v>70.12668255339042</v>
      </c>
      <c r="I12" s="33">
        <f>D12-Февраль!D12</f>
        <v>47.07000000000002</v>
      </c>
    </row>
    <row r="13" spans="1:9" ht="25.5">
      <c r="A13" s="51" t="s">
        <v>76</v>
      </c>
      <c r="B13" s="27">
        <v>5600.4</v>
      </c>
      <c r="C13" s="27">
        <v>1180</v>
      </c>
      <c r="D13" s="27">
        <v>-48.7</v>
      </c>
      <c r="E13" s="27">
        <f t="shared" si="0"/>
        <v>-0.8695807442325549</v>
      </c>
      <c r="F13" s="27">
        <v>117.15</v>
      </c>
      <c r="G13" s="27">
        <f>1130172.48/1000</f>
        <v>1130.17248</v>
      </c>
      <c r="H13" s="25">
        <f t="shared" si="1"/>
        <v>104.40884209107624</v>
      </c>
      <c r="I13" s="33">
        <f>D13-Февраль!D13</f>
        <v>133.08999999999997</v>
      </c>
    </row>
    <row r="14" spans="1:9" ht="63.75">
      <c r="A14" s="51" t="s">
        <v>78</v>
      </c>
      <c r="B14" s="27">
        <v>3850</v>
      </c>
      <c r="C14" s="27">
        <v>780</v>
      </c>
      <c r="D14" s="27">
        <v>827.3</v>
      </c>
      <c r="E14" s="27">
        <f t="shared" si="0"/>
        <v>21.488311688311686</v>
      </c>
      <c r="F14" s="27">
        <v>187.82</v>
      </c>
      <c r="G14" s="27">
        <f>806020.05/1000</f>
        <v>806.0200500000001</v>
      </c>
      <c r="H14" s="25">
        <f t="shared" si="1"/>
        <v>96.77178626015568</v>
      </c>
      <c r="I14" s="33">
        <f>D14-Февраль!D14</f>
        <v>364.80999999999995</v>
      </c>
    </row>
    <row r="15" spans="1:9" ht="37.5" customHeight="1">
      <c r="A15" s="51" t="s">
        <v>145</v>
      </c>
      <c r="B15" s="27">
        <v>8639</v>
      </c>
      <c r="C15" s="27">
        <v>2500</v>
      </c>
      <c r="D15" s="27">
        <v>305.2</v>
      </c>
      <c r="E15" s="27">
        <f t="shared" si="0"/>
        <v>3.5328162981826603</v>
      </c>
      <c r="F15" s="27"/>
      <c r="G15" s="34">
        <f>46561893.56/1000</f>
        <v>46561.893560000004</v>
      </c>
      <c r="H15" s="25">
        <f t="shared" si="1"/>
        <v>5.3691974463591805</v>
      </c>
      <c r="I15" s="33">
        <f>D15-Февраль!D15</f>
        <v>261.62</v>
      </c>
    </row>
    <row r="16" spans="1:9" ht="53.25" customHeight="1">
      <c r="A16" s="51" t="s">
        <v>164</v>
      </c>
      <c r="B16" s="27">
        <v>0</v>
      </c>
      <c r="C16" s="27">
        <v>0</v>
      </c>
      <c r="D16" s="27">
        <v>208.8</v>
      </c>
      <c r="E16" s="27">
        <v>0</v>
      </c>
      <c r="F16" s="27"/>
      <c r="G16" s="34">
        <v>0</v>
      </c>
      <c r="H16" s="25">
        <v>0</v>
      </c>
      <c r="I16" s="33">
        <f>D16-Февраль!D16</f>
        <v>-7303.75</v>
      </c>
    </row>
    <row r="17" spans="1:9" ht="39.75" customHeight="1">
      <c r="A17" s="53" t="s">
        <v>82</v>
      </c>
      <c r="B17" s="26">
        <f>SUM(B18:B21)</f>
        <v>59089.46000000001</v>
      </c>
      <c r="C17" s="26">
        <f>SUM(C18:C21)</f>
        <v>12210</v>
      </c>
      <c r="D17" s="26">
        <f>SUM(D18:D21)</f>
        <v>15886.6</v>
      </c>
      <c r="E17" s="25">
        <f t="shared" si="0"/>
        <v>26.885674704084277</v>
      </c>
      <c r="F17" s="25">
        <v>1853.18</v>
      </c>
      <c r="G17" s="26">
        <f>SUM(G18:G21)</f>
        <v>14336.207300000002</v>
      </c>
      <c r="H17" s="25">
        <f t="shared" si="1"/>
        <v>85.16896934100554</v>
      </c>
      <c r="I17" s="33">
        <f>D17-Февраль!D16</f>
        <v>8374.05</v>
      </c>
    </row>
    <row r="18" spans="1:9" ht="37.5" customHeight="1">
      <c r="A18" s="37" t="s">
        <v>83</v>
      </c>
      <c r="B18" s="27">
        <v>27987.73</v>
      </c>
      <c r="C18" s="27">
        <v>5545</v>
      </c>
      <c r="D18" s="27">
        <v>8167</v>
      </c>
      <c r="E18" s="27">
        <f t="shared" si="0"/>
        <v>29.18064451815135</v>
      </c>
      <c r="F18" s="27">
        <v>844.23</v>
      </c>
      <c r="G18" s="83">
        <f>6885031.15/1000</f>
        <v>6885.031150000001</v>
      </c>
      <c r="H18" s="25">
        <f t="shared" si="1"/>
        <v>80.53703576925719</v>
      </c>
      <c r="I18" s="33">
        <f>D18-Февраль!D17</f>
        <v>4256.860000000001</v>
      </c>
    </row>
    <row r="19" spans="1:9" ht="56.25" customHeight="1">
      <c r="A19" s="37" t="s">
        <v>84</v>
      </c>
      <c r="B19" s="27">
        <v>194.4</v>
      </c>
      <c r="C19" s="27">
        <v>45</v>
      </c>
      <c r="D19" s="27">
        <v>33.5</v>
      </c>
      <c r="E19" s="27">
        <f t="shared" si="0"/>
        <v>17.232510288065843</v>
      </c>
      <c r="F19" s="27">
        <v>5.74</v>
      </c>
      <c r="G19" s="83">
        <f>44117.58/1000</f>
        <v>44.117580000000004</v>
      </c>
      <c r="H19" s="25">
        <f t="shared" si="1"/>
        <v>102.00015504023565</v>
      </c>
      <c r="I19" s="33">
        <f>D19-Февраль!D18</f>
        <v>19.39</v>
      </c>
    </row>
    <row r="20" spans="1:9" ht="55.5" customHeight="1">
      <c r="A20" s="37" t="s">
        <v>85</v>
      </c>
      <c r="B20" s="27">
        <v>34598.53</v>
      </c>
      <c r="C20" s="27">
        <v>7550</v>
      </c>
      <c r="D20" s="27">
        <v>8732.7</v>
      </c>
      <c r="E20" s="27">
        <f t="shared" si="0"/>
        <v>25.24008968011069</v>
      </c>
      <c r="F20" s="27">
        <v>1158.41</v>
      </c>
      <c r="G20" s="83">
        <f>8330774.04/1000</f>
        <v>8330.77404</v>
      </c>
      <c r="H20" s="25">
        <f t="shared" si="1"/>
        <v>90.62783318511421</v>
      </c>
      <c r="I20" s="33">
        <f>D20-Февраль!D19</f>
        <v>4749.35</v>
      </c>
    </row>
    <row r="21" spans="1:9" ht="15.75" customHeight="1">
      <c r="A21" s="37" t="s">
        <v>86</v>
      </c>
      <c r="B21" s="27">
        <v>-3691.2</v>
      </c>
      <c r="C21" s="27">
        <v>-930</v>
      </c>
      <c r="D21" s="27">
        <v>-1046.6</v>
      </c>
      <c r="E21" s="27">
        <f t="shared" si="0"/>
        <v>28.35392284351972</v>
      </c>
      <c r="F21" s="27">
        <v>-155.2</v>
      </c>
      <c r="G21" s="83">
        <f>-923715.47/1000</f>
        <v>-923.71547</v>
      </c>
      <c r="H21" s="25">
        <f t="shared" si="1"/>
        <v>100.68035344260284</v>
      </c>
      <c r="I21" s="33">
        <f>D21-Февраль!D20</f>
        <v>-651.55</v>
      </c>
    </row>
    <row r="22" spans="1:9" ht="12.75">
      <c r="A22" s="54" t="s">
        <v>7</v>
      </c>
      <c r="B22" s="26">
        <f>SUM(B23:B26)</f>
        <v>148961.30000000002</v>
      </c>
      <c r="C22" s="26">
        <f>SUM(C23:C26)</f>
        <v>23200</v>
      </c>
      <c r="D22" s="26">
        <f>SUM(D23:D26)</f>
        <v>20327.9</v>
      </c>
      <c r="E22" s="25">
        <f t="shared" si="0"/>
        <v>13.6464303144508</v>
      </c>
      <c r="F22" s="25">
        <v>7362.96</v>
      </c>
      <c r="G22" s="26">
        <f>SUM(G23:G26)</f>
        <v>24687.845930000003</v>
      </c>
      <c r="H22" s="25">
        <f t="shared" si="1"/>
        <v>93.97336675618179</v>
      </c>
      <c r="I22" s="33">
        <f>D22-Февраль!D21</f>
        <v>23193.4</v>
      </c>
    </row>
    <row r="23" spans="1:9" ht="28.5" customHeight="1">
      <c r="A23" s="51" t="s">
        <v>146</v>
      </c>
      <c r="B23" s="27">
        <v>116885.1</v>
      </c>
      <c r="C23" s="27">
        <v>15500</v>
      </c>
      <c r="D23" s="27">
        <v>21650.9</v>
      </c>
      <c r="E23" s="27">
        <f t="shared" si="0"/>
        <v>18.52323350024939</v>
      </c>
      <c r="F23" s="27"/>
      <c r="G23" s="27">
        <f>16433323.62/1000</f>
        <v>16433.32362</v>
      </c>
      <c r="H23" s="25">
        <f t="shared" si="1"/>
        <v>94.32054256593531</v>
      </c>
      <c r="I23" s="33">
        <f>D23-Февраль!D22</f>
        <v>22190.47</v>
      </c>
    </row>
    <row r="24" spans="1:9" ht="19.5" customHeight="1">
      <c r="A24" s="51" t="s">
        <v>89</v>
      </c>
      <c r="B24" s="27">
        <v>0</v>
      </c>
      <c r="C24" s="27">
        <v>0</v>
      </c>
      <c r="D24" s="27">
        <v>-685.5</v>
      </c>
      <c r="E24" s="27" t="s">
        <v>148</v>
      </c>
      <c r="F24" s="27">
        <v>7198.75</v>
      </c>
      <c r="G24" s="27">
        <f>67489.42/1000</f>
        <v>67.48942</v>
      </c>
      <c r="H24" s="25">
        <f t="shared" si="1"/>
        <v>0</v>
      </c>
      <c r="I24" s="33">
        <f>D24-Февраль!D23</f>
        <v>113.05999999999995</v>
      </c>
    </row>
    <row r="25" spans="1:9" ht="15" customHeight="1">
      <c r="A25" s="51" t="s">
        <v>87</v>
      </c>
      <c r="B25" s="27">
        <v>715</v>
      </c>
      <c r="C25" s="27">
        <v>0</v>
      </c>
      <c r="D25" s="27">
        <v>419.9</v>
      </c>
      <c r="E25" s="27">
        <f t="shared" si="0"/>
        <v>58.72727272727273</v>
      </c>
      <c r="F25" s="27">
        <v>113.58</v>
      </c>
      <c r="G25" s="34">
        <f>270118.75/1000</f>
        <v>270.11875</v>
      </c>
      <c r="H25" s="25">
        <f t="shared" si="1"/>
        <v>0</v>
      </c>
      <c r="I25" s="33">
        <f>D25-Февраль!D24</f>
        <v>420.13</v>
      </c>
    </row>
    <row r="26" spans="1:9" ht="27" customHeight="1">
      <c r="A26" s="51" t="s">
        <v>88</v>
      </c>
      <c r="B26" s="27">
        <v>31361.2</v>
      </c>
      <c r="C26" s="27">
        <v>7700</v>
      </c>
      <c r="D26" s="27">
        <v>-1057.4</v>
      </c>
      <c r="E26" s="27">
        <f t="shared" si="0"/>
        <v>-3.3716822060380345</v>
      </c>
      <c r="F26" s="27">
        <v>50.63</v>
      </c>
      <c r="G26" s="27">
        <f>7916914.14/1000</f>
        <v>7916.91414</v>
      </c>
      <c r="H26" s="25">
        <f t="shared" si="1"/>
        <v>97.26011756393761</v>
      </c>
      <c r="I26" s="33">
        <f>D26-Февраль!D25</f>
        <v>469.74</v>
      </c>
    </row>
    <row r="27" spans="1:9" ht="12.75">
      <c r="A27" s="54" t="s">
        <v>8</v>
      </c>
      <c r="B27" s="26">
        <f>SUM(B28:B29)</f>
        <v>42454.6</v>
      </c>
      <c r="C27" s="26">
        <f>SUM(C28:C29)</f>
        <v>4200</v>
      </c>
      <c r="D27" s="26">
        <f>SUM(D28:D29)</f>
        <v>3821.6</v>
      </c>
      <c r="E27" s="25">
        <f t="shared" si="0"/>
        <v>9.00161584374838</v>
      </c>
      <c r="F27" s="25">
        <v>2465.82</v>
      </c>
      <c r="G27" s="26">
        <f>SUM(G28:G29)</f>
        <v>4871.59875</v>
      </c>
      <c r="H27" s="25">
        <f t="shared" si="1"/>
        <v>86.21399699636592</v>
      </c>
      <c r="I27" s="33">
        <f>D27-Февраль!D26</f>
        <v>2797.98</v>
      </c>
    </row>
    <row r="28" spans="1:9" ht="12.75">
      <c r="A28" s="51" t="s">
        <v>106</v>
      </c>
      <c r="B28" s="27">
        <v>24668.5</v>
      </c>
      <c r="C28" s="27">
        <v>1700</v>
      </c>
      <c r="D28" s="27">
        <v>1483.1</v>
      </c>
      <c r="E28" s="27">
        <f t="shared" si="0"/>
        <v>6.012120720757241</v>
      </c>
      <c r="F28" s="27">
        <v>536.1</v>
      </c>
      <c r="G28" s="34">
        <f>2008973.14/1000</f>
        <v>2008.9731399999998</v>
      </c>
      <c r="H28" s="25">
        <f t="shared" si="1"/>
        <v>84.62034489918567</v>
      </c>
      <c r="I28" s="33">
        <f>D28-Февраль!D27</f>
        <v>699.2699999999999</v>
      </c>
    </row>
    <row r="29" spans="1:9" ht="12.75">
      <c r="A29" s="51" t="s">
        <v>107</v>
      </c>
      <c r="B29" s="27">
        <v>17786.1</v>
      </c>
      <c r="C29" s="27">
        <v>2500</v>
      </c>
      <c r="D29" s="27">
        <v>2338.5</v>
      </c>
      <c r="E29" s="27">
        <f t="shared" si="0"/>
        <v>13.14790763573802</v>
      </c>
      <c r="F29" s="27">
        <v>1929.72</v>
      </c>
      <c r="G29" s="27">
        <f>2862625.61/1000</f>
        <v>2862.62561</v>
      </c>
      <c r="H29" s="25">
        <f t="shared" si="1"/>
        <v>87.33241228845151</v>
      </c>
      <c r="I29" s="33">
        <f>D29-Февраль!D28</f>
        <v>2098.71</v>
      </c>
    </row>
    <row r="30" spans="1:9" ht="12.75">
      <c r="A30" s="47" t="s">
        <v>9</v>
      </c>
      <c r="B30" s="26">
        <f>SUM(B31:B33)</f>
        <v>15600</v>
      </c>
      <c r="C30" s="26">
        <f>SUM(C31:C33)</f>
        <v>3005</v>
      </c>
      <c r="D30" s="26">
        <f>SUM(D31:D33)</f>
        <v>4200.5</v>
      </c>
      <c r="E30" s="26">
        <f t="shared" si="0"/>
        <v>26.92628205128205</v>
      </c>
      <c r="F30" s="26">
        <v>793.07</v>
      </c>
      <c r="G30" s="27">
        <f>SUM(G31:G33)</f>
        <v>3688.88297</v>
      </c>
      <c r="H30" s="25">
        <f t="shared" si="1"/>
        <v>81.46097407909907</v>
      </c>
      <c r="I30" s="33">
        <f>D30-Февраль!D29</f>
        <v>1880.1100000000001</v>
      </c>
    </row>
    <row r="31" spans="1:9" ht="25.5">
      <c r="A31" s="51" t="s">
        <v>10</v>
      </c>
      <c r="B31" s="27">
        <v>15550</v>
      </c>
      <c r="C31" s="27">
        <v>3000</v>
      </c>
      <c r="D31" s="27">
        <v>4180.5</v>
      </c>
      <c r="E31" s="27">
        <f t="shared" si="0"/>
        <v>26.884244372990352</v>
      </c>
      <c r="F31" s="27">
        <v>793.07</v>
      </c>
      <c r="G31" s="27">
        <f>3647682.97/1000</f>
        <v>3647.6829700000003</v>
      </c>
      <c r="H31" s="25">
        <f t="shared" si="1"/>
        <v>82.24398953179859</v>
      </c>
      <c r="I31" s="33">
        <f>D31-Февраль!D30</f>
        <v>1875.1100000000001</v>
      </c>
    </row>
    <row r="32" spans="1:9" ht="25.5">
      <c r="A32" s="51" t="s">
        <v>91</v>
      </c>
      <c r="B32" s="27">
        <v>0</v>
      </c>
      <c r="C32" s="27">
        <v>0</v>
      </c>
      <c r="D32" s="27">
        <v>0</v>
      </c>
      <c r="E32" s="27" t="s">
        <v>148</v>
      </c>
      <c r="F32" s="27">
        <v>0</v>
      </c>
      <c r="G32" s="83">
        <f>30000/1000</f>
        <v>30</v>
      </c>
      <c r="H32" s="25">
        <f t="shared" si="1"/>
        <v>0</v>
      </c>
      <c r="I32" s="33">
        <f>D32-Февраль!D31</f>
        <v>0</v>
      </c>
    </row>
    <row r="33" spans="1:9" ht="25.5">
      <c r="A33" s="51" t="s">
        <v>90</v>
      </c>
      <c r="B33" s="27">
        <v>50</v>
      </c>
      <c r="C33" s="27">
        <v>5</v>
      </c>
      <c r="D33" s="27">
        <v>20</v>
      </c>
      <c r="E33" s="27">
        <f t="shared" si="0"/>
        <v>40</v>
      </c>
      <c r="F33" s="27">
        <v>0</v>
      </c>
      <c r="G33" s="83">
        <f>11200/1000</f>
        <v>11.2</v>
      </c>
      <c r="H33" s="25">
        <f t="shared" si="1"/>
        <v>44.642857142857146</v>
      </c>
      <c r="I33" s="33">
        <f>D33-Февраль!D32</f>
        <v>5</v>
      </c>
    </row>
    <row r="34" spans="1:9" ht="25.5" hidden="1">
      <c r="A34" s="54" t="s">
        <v>11</v>
      </c>
      <c r="B34" s="27">
        <v>0</v>
      </c>
      <c r="C34" s="27">
        <v>0</v>
      </c>
      <c r="D34" s="27">
        <v>0.02</v>
      </c>
      <c r="E34" s="25" t="e">
        <f t="shared" si="0"/>
        <v>#DIV/0!</v>
      </c>
      <c r="F34" s="25">
        <v>0</v>
      </c>
      <c r="G34" s="27">
        <v>0.02</v>
      </c>
      <c r="H34" s="25">
        <f t="shared" si="1"/>
        <v>0</v>
      </c>
      <c r="I34" s="33">
        <f>D34-Февраль!D33</f>
        <v>0</v>
      </c>
    </row>
    <row r="35" spans="1:9" ht="25.5" hidden="1">
      <c r="A35" s="51" t="s">
        <v>116</v>
      </c>
      <c r="B35" s="33">
        <v>0</v>
      </c>
      <c r="C35" s="33">
        <v>0</v>
      </c>
      <c r="D35" s="33">
        <v>0.02</v>
      </c>
      <c r="E35" s="25" t="e">
        <f t="shared" si="0"/>
        <v>#DIV/0!</v>
      </c>
      <c r="F35" s="25">
        <v>0</v>
      </c>
      <c r="G35" s="33">
        <v>0.02</v>
      </c>
      <c r="H35" s="25">
        <f t="shared" si="1"/>
        <v>0</v>
      </c>
      <c r="I35" s="33">
        <f>D35-Февраль!D34</f>
        <v>0</v>
      </c>
    </row>
    <row r="36" spans="1:9" ht="25.5" hidden="1">
      <c r="A36" s="51" t="s">
        <v>92</v>
      </c>
      <c r="B36" s="27">
        <v>0</v>
      </c>
      <c r="C36" s="27">
        <v>0</v>
      </c>
      <c r="D36" s="27">
        <v>0</v>
      </c>
      <c r="E36" s="25" t="e">
        <f t="shared" si="0"/>
        <v>#DIV/0!</v>
      </c>
      <c r="F36" s="25">
        <v>0</v>
      </c>
      <c r="G36" s="27">
        <v>0</v>
      </c>
      <c r="H36" s="25" t="e">
        <f t="shared" si="1"/>
        <v>#DIV/0!</v>
      </c>
      <c r="I36" s="33">
        <f>D36-Февраль!D35</f>
        <v>0</v>
      </c>
    </row>
    <row r="37" spans="1:9" ht="38.25">
      <c r="A37" s="54" t="s">
        <v>150</v>
      </c>
      <c r="B37" s="27">
        <v>0</v>
      </c>
      <c r="C37" s="27">
        <v>0</v>
      </c>
      <c r="D37" s="27">
        <v>-8.1</v>
      </c>
      <c r="E37" s="25" t="e">
        <f t="shared" si="0"/>
        <v>#DIV/0!</v>
      </c>
      <c r="F37" s="25"/>
      <c r="G37" s="27">
        <v>0</v>
      </c>
      <c r="H37" s="25">
        <v>0</v>
      </c>
      <c r="I37" s="33">
        <f>D37-Февраль!D36</f>
        <v>8.94</v>
      </c>
    </row>
    <row r="38" spans="1:9" ht="39.75" customHeight="1">
      <c r="A38" s="54" t="s">
        <v>12</v>
      </c>
      <c r="B38" s="26">
        <f>SUM(B40:B46)</f>
        <v>57702.52</v>
      </c>
      <c r="C38" s="26">
        <f>SUM(C40:C46)</f>
        <v>15184.4</v>
      </c>
      <c r="D38" s="26">
        <f>SUM(D40:D46)</f>
        <v>12052.5</v>
      </c>
      <c r="E38" s="26">
        <f t="shared" si="0"/>
        <v>20.887302668930232</v>
      </c>
      <c r="F38" s="26">
        <v>3247.05</v>
      </c>
      <c r="G38" s="26">
        <f>SUM(G40:G46)</f>
        <v>10853.76394</v>
      </c>
      <c r="H38" s="25">
        <f t="shared" si="1"/>
        <v>139.89985487007007</v>
      </c>
      <c r="I38" s="33">
        <f>D38-Февраль!D37</f>
        <v>3839.1099999999988</v>
      </c>
    </row>
    <row r="39" spans="1:9" ht="81.75" customHeight="1" hidden="1">
      <c r="A39" s="51" t="s">
        <v>114</v>
      </c>
      <c r="B39" s="27"/>
      <c r="C39" s="27"/>
      <c r="D39" s="27"/>
      <c r="E39" s="25" t="e">
        <f t="shared" si="0"/>
        <v>#DIV/0!</v>
      </c>
      <c r="F39" s="25"/>
      <c r="G39" s="27"/>
      <c r="H39" s="25" t="e">
        <f t="shared" si="1"/>
        <v>#DIV/0!</v>
      </c>
      <c r="I39" s="33">
        <f>D39-Февраль!D38</f>
        <v>0</v>
      </c>
    </row>
    <row r="40" spans="1:9" ht="76.5">
      <c r="A40" s="51" t="s">
        <v>117</v>
      </c>
      <c r="B40" s="27">
        <v>29271.18</v>
      </c>
      <c r="C40" s="27">
        <v>7317.5</v>
      </c>
      <c r="D40" s="27">
        <v>5413.4</v>
      </c>
      <c r="E40" s="27">
        <f t="shared" si="0"/>
        <v>18.493958904287425</v>
      </c>
      <c r="F40" s="27">
        <v>2393.3</v>
      </c>
      <c r="G40" s="27">
        <f>6241904.19/1000</f>
        <v>6241.90419</v>
      </c>
      <c r="H40" s="25">
        <f t="shared" si="1"/>
        <v>117.23185389040711</v>
      </c>
      <c r="I40" s="33">
        <f>D40-Февраль!D39</f>
        <v>2254.0699999999997</v>
      </c>
    </row>
    <row r="41" spans="1:9" ht="76.5">
      <c r="A41" s="51" t="s">
        <v>125</v>
      </c>
      <c r="B41" s="27">
        <v>5434.31</v>
      </c>
      <c r="C41" s="27">
        <v>1358.6</v>
      </c>
      <c r="D41" s="27">
        <v>1324.8</v>
      </c>
      <c r="E41" s="27">
        <f t="shared" si="0"/>
        <v>24.378439949137977</v>
      </c>
      <c r="F41" s="27">
        <v>75.44</v>
      </c>
      <c r="G41" s="83">
        <f>683058.55/1000</f>
        <v>683.0585500000001</v>
      </c>
      <c r="H41" s="25">
        <f t="shared" si="1"/>
        <v>198.89949404776496</v>
      </c>
      <c r="I41" s="33">
        <f>D41-Февраль!D40</f>
        <v>214.56999999999994</v>
      </c>
    </row>
    <row r="42" spans="1:9" ht="76.5">
      <c r="A42" s="51" t="s">
        <v>118</v>
      </c>
      <c r="B42" s="27">
        <v>515.73</v>
      </c>
      <c r="C42" s="27">
        <v>122.8</v>
      </c>
      <c r="D42" s="27">
        <v>207.9</v>
      </c>
      <c r="E42" s="27">
        <f t="shared" si="0"/>
        <v>40.31179105345821</v>
      </c>
      <c r="F42" s="27">
        <v>3.43</v>
      </c>
      <c r="G42" s="83">
        <f>40939.04/1000</f>
        <v>40.93904</v>
      </c>
      <c r="H42" s="25">
        <f t="shared" si="1"/>
        <v>299.958181725805</v>
      </c>
      <c r="I42" s="33">
        <f>D42-Февраль!D41</f>
        <v>63.97</v>
      </c>
    </row>
    <row r="43" spans="1:9" ht="38.25">
      <c r="A43" s="51" t="s">
        <v>119</v>
      </c>
      <c r="B43" s="27">
        <v>17384.33</v>
      </c>
      <c r="C43" s="27">
        <v>4346.1</v>
      </c>
      <c r="D43" s="27">
        <v>3450.1</v>
      </c>
      <c r="E43" s="27">
        <f t="shared" si="0"/>
        <v>19.84603375568687</v>
      </c>
      <c r="F43" s="27">
        <v>538.73</v>
      </c>
      <c r="G43" s="83">
        <f>3256020/1000</f>
        <v>3256.02</v>
      </c>
      <c r="H43" s="25">
        <f t="shared" si="1"/>
        <v>133.47890983470617</v>
      </c>
      <c r="I43" s="33">
        <f>D43-Февраль!D42</f>
        <v>1035.7599999999998</v>
      </c>
    </row>
    <row r="44" spans="1:9" ht="44.25" customHeight="1">
      <c r="A44" s="51" t="s">
        <v>147</v>
      </c>
      <c r="B44" s="27">
        <v>62.2</v>
      </c>
      <c r="C44" s="27">
        <v>15.5</v>
      </c>
      <c r="D44" s="27">
        <v>8.1</v>
      </c>
      <c r="E44" s="27">
        <f t="shared" si="0"/>
        <v>13.022508038585206</v>
      </c>
      <c r="F44" s="27"/>
      <c r="G44" s="83">
        <v>0</v>
      </c>
      <c r="H44" s="25" t="s">
        <v>148</v>
      </c>
      <c r="I44" s="33">
        <f>D44-Февраль!D43</f>
        <v>2.59</v>
      </c>
    </row>
    <row r="45" spans="1:9" ht="51">
      <c r="A45" s="51" t="s">
        <v>120</v>
      </c>
      <c r="B45" s="27">
        <v>1531</v>
      </c>
      <c r="C45" s="27">
        <v>1148</v>
      </c>
      <c r="D45" s="27">
        <v>997.2</v>
      </c>
      <c r="E45" s="27">
        <f t="shared" si="0"/>
        <v>65.13389941214892</v>
      </c>
      <c r="F45" s="27">
        <v>0</v>
      </c>
      <c r="G45" s="83">
        <f>105492/1000</f>
        <v>105.492</v>
      </c>
      <c r="H45" s="25" t="s">
        <v>148</v>
      </c>
      <c r="I45" s="33">
        <f>D45-Февраль!D44</f>
        <v>0.009999999999990905</v>
      </c>
    </row>
    <row r="46" spans="1:9" ht="76.5">
      <c r="A46" s="51" t="s">
        <v>121</v>
      </c>
      <c r="B46" s="27">
        <v>3503.77</v>
      </c>
      <c r="C46" s="27">
        <v>875.9</v>
      </c>
      <c r="D46" s="27">
        <v>651</v>
      </c>
      <c r="E46" s="27">
        <f t="shared" si="0"/>
        <v>18.579986700040244</v>
      </c>
      <c r="F46" s="27">
        <v>236.15</v>
      </c>
      <c r="G46" s="34">
        <f>526350.16/1000</f>
        <v>526.3501600000001</v>
      </c>
      <c r="H46" s="25">
        <f t="shared" si="1"/>
        <v>166.41013275269069</v>
      </c>
      <c r="I46" s="33">
        <f>D46-Февраль!D45</f>
        <v>268.14</v>
      </c>
    </row>
    <row r="47" spans="1:9" ht="27" customHeight="1">
      <c r="A47" s="54" t="s">
        <v>13</v>
      </c>
      <c r="B47" s="33">
        <v>598.72</v>
      </c>
      <c r="C47" s="33">
        <v>163</v>
      </c>
      <c r="D47" s="33">
        <v>362.9</v>
      </c>
      <c r="E47" s="33">
        <f t="shared" si="0"/>
        <v>60.61264029930518</v>
      </c>
      <c r="F47" s="33">
        <v>43.6</v>
      </c>
      <c r="G47" s="27">
        <f>292037.99/1000</f>
        <v>292.03799</v>
      </c>
      <c r="H47" s="33">
        <f t="shared" si="1"/>
        <v>55.814656168534796</v>
      </c>
      <c r="I47" s="33">
        <f>D47-Февраль!D46</f>
        <v>188.14999999999998</v>
      </c>
    </row>
    <row r="48" spans="1:9" ht="25.5">
      <c r="A48" s="54" t="s">
        <v>96</v>
      </c>
      <c r="B48" s="33">
        <v>1290.36</v>
      </c>
      <c r="C48" s="33">
        <v>158.6</v>
      </c>
      <c r="D48" s="33">
        <v>273.2</v>
      </c>
      <c r="E48" s="33">
        <f t="shared" si="0"/>
        <v>21.172386000805975</v>
      </c>
      <c r="F48" s="33">
        <v>561.58</v>
      </c>
      <c r="G48" s="27">
        <f>188742.64/1000</f>
        <v>188.74264000000002</v>
      </c>
      <c r="H48" s="33">
        <f t="shared" si="1"/>
        <v>84.02976667063679</v>
      </c>
      <c r="I48" s="33">
        <f>D48-Февраль!D47</f>
        <v>152.57</v>
      </c>
    </row>
    <row r="49" spans="1:9" ht="25.5">
      <c r="A49" s="54" t="s">
        <v>14</v>
      </c>
      <c r="B49" s="33">
        <f>SUM(B50:B52)</f>
        <v>33900</v>
      </c>
      <c r="C49" s="33">
        <f>SUM(C50:C52)</f>
        <v>0</v>
      </c>
      <c r="D49" s="33">
        <f>SUM(D50:D52)</f>
        <v>1139.2</v>
      </c>
      <c r="E49" s="25">
        <f t="shared" si="0"/>
        <v>3.3604719764011803</v>
      </c>
      <c r="F49" s="25">
        <v>585.5</v>
      </c>
      <c r="G49" s="27">
        <f>SUM(G50:G52)</f>
        <v>657.2126499999999</v>
      </c>
      <c r="H49" s="25">
        <f t="shared" si="1"/>
        <v>0</v>
      </c>
      <c r="I49" s="33">
        <f>D49-Февраль!D48</f>
        <v>606.3000000000001</v>
      </c>
    </row>
    <row r="50" spans="1:9" ht="12.75">
      <c r="A50" s="51" t="s">
        <v>94</v>
      </c>
      <c r="B50" s="27">
        <v>0</v>
      </c>
      <c r="C50" s="27">
        <v>0</v>
      </c>
      <c r="D50" s="27">
        <v>0</v>
      </c>
      <c r="E50" s="25">
        <v>0</v>
      </c>
      <c r="F50" s="25">
        <v>0</v>
      </c>
      <c r="G50" s="33">
        <f>3137.41/1000</f>
        <v>3.13741</v>
      </c>
      <c r="H50" s="25" t="s">
        <v>148</v>
      </c>
      <c r="I50" s="33">
        <f>D50-Февраль!D49</f>
        <v>0</v>
      </c>
    </row>
    <row r="51" spans="1:9" ht="76.5">
      <c r="A51" s="51" t="s">
        <v>95</v>
      </c>
      <c r="B51" s="27">
        <v>32500</v>
      </c>
      <c r="C51" s="27">
        <v>0</v>
      </c>
      <c r="D51" s="27">
        <v>0</v>
      </c>
      <c r="E51" s="25">
        <f t="shared" si="0"/>
        <v>0</v>
      </c>
      <c r="F51" s="25">
        <v>37.14</v>
      </c>
      <c r="G51" s="27">
        <f>19985/1000</f>
        <v>19.985</v>
      </c>
      <c r="H51" s="25" t="s">
        <v>148</v>
      </c>
      <c r="I51" s="33">
        <f>D51-Февраль!D50</f>
        <v>0</v>
      </c>
    </row>
    <row r="52" spans="1:9" ht="17.25" customHeight="1">
      <c r="A52" s="51" t="s">
        <v>93</v>
      </c>
      <c r="B52" s="27">
        <v>1400</v>
      </c>
      <c r="C52" s="27">
        <v>0</v>
      </c>
      <c r="D52" s="27">
        <v>1139.2</v>
      </c>
      <c r="E52" s="27">
        <f t="shared" si="0"/>
        <v>81.37142857142857</v>
      </c>
      <c r="F52" s="27">
        <v>548.36</v>
      </c>
      <c r="G52" s="83">
        <f>634090.24/1000</f>
        <v>634.09024</v>
      </c>
      <c r="H52" s="25">
        <f t="shared" si="1"/>
        <v>0</v>
      </c>
      <c r="I52" s="33">
        <f>D52-Февраль!D51</f>
        <v>606.3000000000001</v>
      </c>
    </row>
    <row r="53" spans="1:9" ht="12.75">
      <c r="A53" s="54" t="s">
        <v>15</v>
      </c>
      <c r="B53" s="33">
        <v>-1455.1</v>
      </c>
      <c r="C53" s="33">
        <v>-4354.8</v>
      </c>
      <c r="D53" s="33">
        <v>961.6</v>
      </c>
      <c r="E53" s="26">
        <f t="shared" si="0"/>
        <v>-66.08480516802969</v>
      </c>
      <c r="F53" s="26">
        <v>179.73</v>
      </c>
      <c r="G53" s="27">
        <f>626993.54/1000</f>
        <v>626.99354</v>
      </c>
      <c r="H53" s="25">
        <f t="shared" si="1"/>
        <v>-694.552610542048</v>
      </c>
      <c r="I53" s="33">
        <f>D53-Февраль!D52</f>
        <v>5637.9400000000005</v>
      </c>
    </row>
    <row r="54" spans="1:9" ht="63.75" hidden="1">
      <c r="A54" s="51" t="s">
        <v>126</v>
      </c>
      <c r="B54" s="33">
        <v>223.07</v>
      </c>
      <c r="C54" s="33">
        <v>20</v>
      </c>
      <c r="D54" s="33"/>
      <c r="E54" s="26">
        <f t="shared" si="0"/>
        <v>0</v>
      </c>
      <c r="F54" s="26"/>
      <c r="G54" s="27"/>
      <c r="H54" s="25" t="e">
        <f t="shared" si="1"/>
        <v>#DIV/0!</v>
      </c>
      <c r="I54" s="33">
        <f>D54-Февраль!D53</f>
        <v>0</v>
      </c>
    </row>
    <row r="55" spans="1:9" ht="89.25" hidden="1">
      <c r="A55" s="51" t="s">
        <v>127</v>
      </c>
      <c r="B55" s="33">
        <v>223.07</v>
      </c>
      <c r="C55" s="33">
        <v>20</v>
      </c>
      <c r="D55" s="33"/>
      <c r="E55" s="26">
        <f t="shared" si="0"/>
        <v>0</v>
      </c>
      <c r="F55" s="26"/>
      <c r="G55" s="27"/>
      <c r="H55" s="25" t="e">
        <f t="shared" si="1"/>
        <v>#DIV/0!</v>
      </c>
      <c r="I55" s="33">
        <f>D55-Февраль!D54</f>
        <v>0</v>
      </c>
    </row>
    <row r="56" spans="1:9" ht="63.75" hidden="1">
      <c r="A56" s="51" t="s">
        <v>128</v>
      </c>
      <c r="B56" s="33">
        <v>223.07</v>
      </c>
      <c r="C56" s="33">
        <v>20</v>
      </c>
      <c r="D56" s="33"/>
      <c r="E56" s="26">
        <f t="shared" si="0"/>
        <v>0</v>
      </c>
      <c r="F56" s="26"/>
      <c r="G56" s="27"/>
      <c r="H56" s="25" t="e">
        <f t="shared" si="1"/>
        <v>#DIV/0!</v>
      </c>
      <c r="I56" s="33">
        <f>D56-Февраль!D55</f>
        <v>0</v>
      </c>
    </row>
    <row r="57" spans="1:9" ht="29.25" customHeight="1" hidden="1">
      <c r="A57" s="51" t="s">
        <v>129</v>
      </c>
      <c r="B57" s="33">
        <v>223.07</v>
      </c>
      <c r="C57" s="33">
        <v>20</v>
      </c>
      <c r="D57" s="33"/>
      <c r="E57" s="26">
        <f t="shared" si="0"/>
        <v>0</v>
      </c>
      <c r="F57" s="26"/>
      <c r="G57" s="27"/>
      <c r="H57" s="25" t="e">
        <f t="shared" si="1"/>
        <v>#DIV/0!</v>
      </c>
      <c r="I57" s="33">
        <f>D57-Февраль!D56</f>
        <v>0</v>
      </c>
    </row>
    <row r="58" spans="1:9" ht="38.25" customHeight="1" hidden="1">
      <c r="A58" s="51" t="s">
        <v>130</v>
      </c>
      <c r="B58" s="33">
        <v>223.07</v>
      </c>
      <c r="C58" s="33">
        <v>20</v>
      </c>
      <c r="D58" s="33"/>
      <c r="E58" s="26">
        <f t="shared" si="0"/>
        <v>0</v>
      </c>
      <c r="F58" s="26"/>
      <c r="G58" s="27"/>
      <c r="H58" s="25" t="e">
        <f t="shared" si="1"/>
        <v>#DIV/0!</v>
      </c>
      <c r="I58" s="33">
        <f>D58-Февраль!D57</f>
        <v>0</v>
      </c>
    </row>
    <row r="59" spans="1:9" ht="43.5" customHeight="1" hidden="1">
      <c r="A59" s="51" t="s">
        <v>131</v>
      </c>
      <c r="B59" s="33">
        <v>223.07</v>
      </c>
      <c r="C59" s="33">
        <v>20</v>
      </c>
      <c r="D59" s="33"/>
      <c r="E59" s="26">
        <f t="shared" si="0"/>
        <v>0</v>
      </c>
      <c r="F59" s="26"/>
      <c r="G59" s="27"/>
      <c r="H59" s="25" t="e">
        <f t="shared" si="1"/>
        <v>#DIV/0!</v>
      </c>
      <c r="I59" s="33">
        <f>D59-Февраль!D58</f>
        <v>0</v>
      </c>
    </row>
    <row r="60" spans="1:9" ht="40.5" customHeight="1" hidden="1">
      <c r="A60" s="51" t="s">
        <v>132</v>
      </c>
      <c r="B60" s="33">
        <v>223.07</v>
      </c>
      <c r="C60" s="33">
        <v>20</v>
      </c>
      <c r="D60" s="33"/>
      <c r="E60" s="26">
        <f t="shared" si="0"/>
        <v>0</v>
      </c>
      <c r="F60" s="26"/>
      <c r="G60" s="27"/>
      <c r="H60" s="25" t="e">
        <f t="shared" si="1"/>
        <v>#DIV/0!</v>
      </c>
      <c r="I60" s="33">
        <f>D60-Февраль!D59</f>
        <v>0</v>
      </c>
    </row>
    <row r="61" spans="1:9" ht="51" hidden="1">
      <c r="A61" s="51" t="s">
        <v>133</v>
      </c>
      <c r="B61" s="33">
        <v>223.07</v>
      </c>
      <c r="C61" s="33">
        <v>20</v>
      </c>
      <c r="D61" s="33"/>
      <c r="E61" s="26">
        <f t="shared" si="0"/>
        <v>0</v>
      </c>
      <c r="F61" s="26"/>
      <c r="G61" s="26"/>
      <c r="H61" s="25" t="e">
        <f t="shared" si="1"/>
        <v>#DIV/0!</v>
      </c>
      <c r="I61" s="33">
        <f>D61-Февраль!D60</f>
        <v>0</v>
      </c>
    </row>
    <row r="62" spans="1:9" ht="76.5" hidden="1">
      <c r="A62" s="51" t="s">
        <v>134</v>
      </c>
      <c r="B62" s="33">
        <v>223.07</v>
      </c>
      <c r="C62" s="33">
        <v>20</v>
      </c>
      <c r="D62" s="33"/>
      <c r="E62" s="26">
        <f t="shared" si="0"/>
        <v>0</v>
      </c>
      <c r="F62" s="26"/>
      <c r="G62" s="33"/>
      <c r="H62" s="25" t="e">
        <f t="shared" si="1"/>
        <v>#DIV/0!</v>
      </c>
      <c r="I62" s="33">
        <f>D62-Февраль!D61</f>
        <v>0</v>
      </c>
    </row>
    <row r="63" spans="1:9" ht="12.75" hidden="1">
      <c r="A63" s="51" t="s">
        <v>135</v>
      </c>
      <c r="B63" s="33">
        <v>223.07</v>
      </c>
      <c r="C63" s="33">
        <v>20</v>
      </c>
      <c r="D63" s="33"/>
      <c r="E63" s="26">
        <f t="shared" si="0"/>
        <v>0</v>
      </c>
      <c r="F63" s="26"/>
      <c r="G63" s="33"/>
      <c r="H63" s="25" t="e">
        <f t="shared" si="1"/>
        <v>#DIV/0!</v>
      </c>
      <c r="I63" s="33">
        <f>D63-Февраль!D62</f>
        <v>0</v>
      </c>
    </row>
    <row r="64" spans="1:9" ht="12.75">
      <c r="A64" s="47" t="s">
        <v>16</v>
      </c>
      <c r="B64" s="33">
        <v>-1089.3</v>
      </c>
      <c r="C64" s="33">
        <v>-1097.5</v>
      </c>
      <c r="D64" s="33">
        <v>-1095.9</v>
      </c>
      <c r="E64" s="26">
        <f t="shared" si="0"/>
        <v>100.60589369319747</v>
      </c>
      <c r="F64" s="26">
        <v>-38.79</v>
      </c>
      <c r="G64" s="83">
        <v>0.2</v>
      </c>
      <c r="H64" s="25" t="s">
        <v>148</v>
      </c>
      <c r="I64" s="33">
        <f>D64-Февраль!D63</f>
        <v>-0.790000000000191</v>
      </c>
    </row>
    <row r="65" spans="1:9" ht="12.75">
      <c r="A65" s="54" t="s">
        <v>17</v>
      </c>
      <c r="B65" s="26">
        <f>B64+B53+B49+B48+B47+B38+B30+B27+B22+B17+B8</f>
        <v>722378.16</v>
      </c>
      <c r="C65" s="26">
        <f>C64+C53+C49+C48+C47+C38+C30+C27+C22+C17+C8</f>
        <v>105759.7</v>
      </c>
      <c r="D65" s="26">
        <f>D64+D53+D49+D48+D47+D38+D30+D27+D22+D17+D8+D37</f>
        <v>123074.5</v>
      </c>
      <c r="E65" s="26">
        <f t="shared" si="0"/>
        <v>17.03740600352591</v>
      </c>
      <c r="F65" s="26">
        <v>27699.089999999997</v>
      </c>
      <c r="G65" s="27">
        <v>170255.62221</v>
      </c>
      <c r="H65" s="25">
        <f t="shared" si="1"/>
        <v>62.11818360368259</v>
      </c>
      <c r="I65" s="33">
        <f>D65-Февраль!D64</f>
        <v>95775.52</v>
      </c>
    </row>
    <row r="66" spans="1:9" ht="12.75">
      <c r="A66" s="54" t="s">
        <v>18</v>
      </c>
      <c r="B66" s="26">
        <f>B67+B72+B73</f>
        <v>3265042.1999999997</v>
      </c>
      <c r="C66" s="26">
        <f>C67+C72+C73</f>
        <v>806897.1000000001</v>
      </c>
      <c r="D66" s="26">
        <f>D67+D72+D73</f>
        <v>654632.2000000001</v>
      </c>
      <c r="E66" s="26">
        <f t="shared" si="0"/>
        <v>20.049731669624364</v>
      </c>
      <c r="F66" s="26">
        <v>43822.57000000001</v>
      </c>
      <c r="G66" s="27">
        <f>G67+G72+G73</f>
        <v>300176.78826999996</v>
      </c>
      <c r="H66" s="25">
        <f t="shared" si="1"/>
        <v>268.80729341211435</v>
      </c>
      <c r="I66" s="33">
        <f>D66-Февраль!D65</f>
        <v>314304.49000000005</v>
      </c>
    </row>
    <row r="67" spans="1:9" ht="25.5">
      <c r="A67" s="54" t="s">
        <v>19</v>
      </c>
      <c r="B67" s="26">
        <f>SUM(B68:B71)</f>
        <v>3273422.4</v>
      </c>
      <c r="C67" s="26">
        <f>SUM(C68:C71)</f>
        <v>815277.3</v>
      </c>
      <c r="D67" s="26">
        <f>SUM(D68:D71)</f>
        <v>663012.4</v>
      </c>
      <c r="E67" s="26">
        <f t="shared" si="0"/>
        <v>20.254410185498823</v>
      </c>
      <c r="F67" s="26">
        <v>46091.770000000004</v>
      </c>
      <c r="G67" s="27">
        <f>SUM(G68:G71)</f>
        <v>318549.72033</v>
      </c>
      <c r="H67" s="25">
        <f t="shared" si="1"/>
        <v>255.93408123398058</v>
      </c>
      <c r="I67" s="33">
        <f>D67-Февраль!D66</f>
        <v>293130.13</v>
      </c>
    </row>
    <row r="68" spans="1:9" ht="12.75">
      <c r="A68" s="51" t="s">
        <v>108</v>
      </c>
      <c r="B68" s="27">
        <v>565077</v>
      </c>
      <c r="C68" s="27">
        <v>174315.6</v>
      </c>
      <c r="D68" s="27">
        <v>217199</v>
      </c>
      <c r="E68" s="25">
        <f t="shared" si="0"/>
        <v>38.43706255961577</v>
      </c>
      <c r="F68" s="25">
        <v>15902.8</v>
      </c>
      <c r="G68" s="27">
        <f>106361300/1000</f>
        <v>106361.3</v>
      </c>
      <c r="H68" s="25">
        <f t="shared" si="1"/>
        <v>163.8900615167359</v>
      </c>
      <c r="I68" s="33">
        <f>D68-Февраль!D67</f>
        <v>51845</v>
      </c>
    </row>
    <row r="69" spans="1:9" ht="12.75" customHeight="1">
      <c r="A69" s="51" t="s">
        <v>109</v>
      </c>
      <c r="B69" s="27">
        <v>1404832</v>
      </c>
      <c r="C69" s="27">
        <v>376321.3</v>
      </c>
      <c r="D69" s="27">
        <v>198359.7</v>
      </c>
      <c r="E69" s="25">
        <f t="shared" si="0"/>
        <v>14.119816462039589</v>
      </c>
      <c r="F69" s="25">
        <v>0</v>
      </c>
      <c r="G69" s="27">
        <f>16207497.97/1000</f>
        <v>16207.49797</v>
      </c>
      <c r="H69" s="25">
        <f t="shared" si="1"/>
        <v>2321.8963266049386</v>
      </c>
      <c r="I69" s="33">
        <f>D69-Февраль!D68</f>
        <v>131409.63</v>
      </c>
    </row>
    <row r="70" spans="1:9" ht="18.75" customHeight="1">
      <c r="A70" s="51" t="s">
        <v>110</v>
      </c>
      <c r="B70" s="27">
        <v>1246629.9</v>
      </c>
      <c r="C70" s="27">
        <v>255995.9</v>
      </c>
      <c r="D70" s="27">
        <v>237754.8</v>
      </c>
      <c r="E70" s="25">
        <f t="shared" si="0"/>
        <v>19.071803106920505</v>
      </c>
      <c r="F70" s="25">
        <v>30188.97</v>
      </c>
      <c r="G70" s="27">
        <f>187890322.36/1000</f>
        <v>187890.32236000002</v>
      </c>
      <c r="H70" s="25">
        <f t="shared" si="1"/>
        <v>136.2475175860888</v>
      </c>
      <c r="I70" s="33">
        <f>D70-Февраль!D69</f>
        <v>104102.59999999998</v>
      </c>
    </row>
    <row r="71" spans="1:9" ht="12.75" customHeight="1">
      <c r="A71" s="2" t="s">
        <v>122</v>
      </c>
      <c r="B71" s="27">
        <v>56883.5</v>
      </c>
      <c r="C71" s="27">
        <v>8644.5</v>
      </c>
      <c r="D71" s="27">
        <v>9698.9</v>
      </c>
      <c r="E71" s="25">
        <f t="shared" si="0"/>
        <v>17.05046278797894</v>
      </c>
      <c r="F71" s="25">
        <v>0</v>
      </c>
      <c r="G71" s="34">
        <f>8090600/1000</f>
        <v>8090.6</v>
      </c>
      <c r="H71" s="25" t="s">
        <v>148</v>
      </c>
      <c r="I71" s="33">
        <f>D71-Февраль!D70</f>
        <v>5772.9</v>
      </c>
    </row>
    <row r="72" spans="1:9" ht="12.75" customHeight="1">
      <c r="A72" s="54" t="s">
        <v>113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83">
        <v>0</v>
      </c>
      <c r="H72" s="25" t="s">
        <v>148</v>
      </c>
      <c r="I72" s="33">
        <f>D72-Февраль!D71</f>
        <v>0</v>
      </c>
    </row>
    <row r="73" spans="1:9" ht="25.5">
      <c r="A73" s="54" t="s">
        <v>21</v>
      </c>
      <c r="B73" s="33">
        <v>-8380.2</v>
      </c>
      <c r="C73" s="33">
        <v>-8380.2</v>
      </c>
      <c r="D73" s="33">
        <v>-8380.2</v>
      </c>
      <c r="E73" s="26">
        <f t="shared" si="0"/>
        <v>100</v>
      </c>
      <c r="F73" s="26">
        <v>-2269.2</v>
      </c>
      <c r="G73" s="83">
        <f>-18372932.06/1000</f>
        <v>-18372.93206</v>
      </c>
      <c r="H73" s="25">
        <f t="shared" si="1"/>
        <v>45.611663792327775</v>
      </c>
      <c r="I73" s="33">
        <f>D73-Февраль!D72</f>
        <v>21174.36</v>
      </c>
    </row>
    <row r="74" spans="1:9" ht="12.75">
      <c r="A74" s="47" t="s">
        <v>20</v>
      </c>
      <c r="B74" s="26">
        <f>B65+B66</f>
        <v>3987420.36</v>
      </c>
      <c r="C74" s="26">
        <f>C65+C66</f>
        <v>912656.8</v>
      </c>
      <c r="D74" s="26">
        <f>D65+D66</f>
        <v>777706.7000000001</v>
      </c>
      <c r="E74" s="25">
        <f>D74/B74*100</f>
        <v>19.50400584301576</v>
      </c>
      <c r="F74" s="25">
        <v>71521.66</v>
      </c>
      <c r="G74" s="26">
        <v>470432.41047999996</v>
      </c>
      <c r="H74" s="25">
        <f>C74/G74*100</f>
        <v>194.00381004123034</v>
      </c>
      <c r="I74" s="33">
        <f>D74-Февраль!D73</f>
        <v>410097.05000000005</v>
      </c>
    </row>
    <row r="75" spans="1:9" ht="12.75" hidden="1">
      <c r="A75" s="54"/>
      <c r="B75" s="61"/>
      <c r="C75" s="61"/>
      <c r="D75" s="61"/>
      <c r="E75" s="45"/>
      <c r="F75" s="45"/>
      <c r="G75" s="61"/>
      <c r="H75" s="45"/>
      <c r="I75" s="61"/>
    </row>
    <row r="76" spans="1:9" ht="12.75" hidden="1">
      <c r="A76" s="54"/>
      <c r="B76" s="56"/>
      <c r="C76" s="56"/>
      <c r="D76" s="56"/>
      <c r="E76" s="45"/>
      <c r="F76" s="45"/>
      <c r="G76" s="56"/>
      <c r="H76" s="45"/>
      <c r="I76" s="56"/>
    </row>
    <row r="77" spans="1:9" ht="12.75" hidden="1">
      <c r="A77" s="47"/>
      <c r="B77" s="57"/>
      <c r="C77" s="57"/>
      <c r="D77" s="57"/>
      <c r="E77" s="45"/>
      <c r="F77" s="45"/>
      <c r="G77" s="57"/>
      <c r="H77" s="45"/>
      <c r="I77" s="57"/>
    </row>
    <row r="78" spans="1:9" ht="12.75" hidden="1">
      <c r="A78" s="89"/>
      <c r="B78" s="33"/>
      <c r="C78" s="33"/>
      <c r="D78" s="33"/>
      <c r="E78" s="25"/>
      <c r="F78" s="25"/>
      <c r="G78" s="33"/>
      <c r="H78" s="25"/>
      <c r="I78" s="33"/>
    </row>
    <row r="79" spans="1:9" ht="12.75">
      <c r="A79" s="121" t="s">
        <v>22</v>
      </c>
      <c r="B79" s="121"/>
      <c r="C79" s="121"/>
      <c r="D79" s="121"/>
      <c r="E79" s="121"/>
      <c r="F79" s="121"/>
      <c r="G79" s="121"/>
      <c r="H79" s="121"/>
      <c r="I79" s="121"/>
    </row>
    <row r="80" spans="1:9" ht="12.75">
      <c r="A80" s="7" t="s">
        <v>23</v>
      </c>
      <c r="B80" s="33">
        <f>B81+B82+B83+B84+B85+B86+B87+B88</f>
        <v>443081.24</v>
      </c>
      <c r="C80" s="33">
        <f>C81+C82+C83+C84+C85+C86+C87+C88</f>
        <v>77554.6</v>
      </c>
      <c r="D80" s="33">
        <f>D81+D82+D83+D84+D85+D86+D87+D88</f>
        <v>76883.79999999999</v>
      </c>
      <c r="E80" s="25">
        <f>$D:$D/$B:$B*100</f>
        <v>17.352077465523024</v>
      </c>
      <c r="F80" s="25">
        <f>$D:$D/$C:$C*100</f>
        <v>99.13506097639596</v>
      </c>
      <c r="G80" s="33">
        <f>G81+G82+G83+G84+G85+G86+G87+G88</f>
        <v>27636.5836</v>
      </c>
      <c r="H80" s="25">
        <f>$D:$D/$G:$G*100</f>
        <v>278.19574630780335</v>
      </c>
      <c r="I80" s="33">
        <f>D80-Февраль!D79</f>
        <v>20957.749999999985</v>
      </c>
    </row>
    <row r="81" spans="1:9" ht="14.25" customHeight="1">
      <c r="A81" s="8" t="s">
        <v>24</v>
      </c>
      <c r="B81" s="27">
        <v>3112.77</v>
      </c>
      <c r="C81" s="27">
        <v>1024.9</v>
      </c>
      <c r="D81" s="27">
        <v>992.9</v>
      </c>
      <c r="E81" s="28">
        <f>$D:$D/$B:$B*100</f>
        <v>31.897634582702867</v>
      </c>
      <c r="F81" s="28">
        <v>0</v>
      </c>
      <c r="G81" s="66">
        <v>316.63378</v>
      </c>
      <c r="H81" s="28">
        <v>0</v>
      </c>
      <c r="I81" s="33">
        <f>D81-Февраль!D80</f>
        <v>581.5799999999999</v>
      </c>
    </row>
    <row r="82" spans="1:9" ht="12.75">
      <c r="A82" s="8" t="s">
        <v>25</v>
      </c>
      <c r="B82" s="27">
        <v>7499.62</v>
      </c>
      <c r="C82" s="27">
        <v>1853.4</v>
      </c>
      <c r="D82" s="27">
        <v>1853.4</v>
      </c>
      <c r="E82" s="28">
        <f>$D:$D/$B:$B*100</f>
        <v>24.71325213810833</v>
      </c>
      <c r="F82" s="28">
        <f>$D:$D/$C:$C*100</f>
        <v>100</v>
      </c>
      <c r="G82" s="66">
        <v>1241.25197</v>
      </c>
      <c r="H82" s="28">
        <f>$D:$D/$G:$G*100</f>
        <v>149.31698356136346</v>
      </c>
      <c r="I82" s="33">
        <f>D82-Февраль!D81</f>
        <v>936.2300000000001</v>
      </c>
    </row>
    <row r="83" spans="1:9" ht="25.5">
      <c r="A83" s="8" t="s">
        <v>26</v>
      </c>
      <c r="B83" s="27">
        <v>68916.66</v>
      </c>
      <c r="C83" s="27">
        <v>17000.7</v>
      </c>
      <c r="D83" s="27">
        <v>16717.6</v>
      </c>
      <c r="E83" s="28">
        <f>$D:$D/$B:$B*100</f>
        <v>24.257704885872293</v>
      </c>
      <c r="F83" s="28">
        <f>$D:$D/$C:$C*100</f>
        <v>98.3347744504638</v>
      </c>
      <c r="G83" s="66">
        <v>14036.444660000001</v>
      </c>
      <c r="H83" s="28">
        <f>$D:$D/$G:$G*100</f>
        <v>119.1013850369143</v>
      </c>
      <c r="I83" s="33">
        <f>D83-Февраль!D82</f>
        <v>8936.499999999998</v>
      </c>
    </row>
    <row r="84" spans="1:9" ht="12.75">
      <c r="A84" s="8" t="s">
        <v>72</v>
      </c>
      <c r="B84" s="27">
        <v>4</v>
      </c>
      <c r="C84" s="27">
        <v>3.8</v>
      </c>
      <c r="D84" s="27">
        <v>3.8</v>
      </c>
      <c r="E84" s="28">
        <v>0</v>
      </c>
      <c r="F84" s="28">
        <v>0</v>
      </c>
      <c r="G84" s="66">
        <v>170</v>
      </c>
      <c r="H84" s="28">
        <v>0</v>
      </c>
      <c r="I84" s="33">
        <f>D84-Февраль!D83</f>
        <v>3.8</v>
      </c>
    </row>
    <row r="85" spans="1:9" ht="25.5">
      <c r="A85" s="1" t="s">
        <v>27</v>
      </c>
      <c r="B85" s="27">
        <v>17625.39</v>
      </c>
      <c r="C85" s="27">
        <v>4014.7</v>
      </c>
      <c r="D85" s="27">
        <v>3928.1</v>
      </c>
      <c r="E85" s="28">
        <f>$D:$D/$B:$B*100</f>
        <v>22.286599048304748</v>
      </c>
      <c r="F85" s="28">
        <v>0</v>
      </c>
      <c r="G85" s="66">
        <v>2835.64259</v>
      </c>
      <c r="H85" s="28">
        <f>$D:$D/$G:$G*100</f>
        <v>138.5259205039659</v>
      </c>
      <c r="I85" s="33">
        <f>D85-Февраль!D84</f>
        <v>2162.75</v>
      </c>
    </row>
    <row r="86" spans="1:9" ht="12.75" hidden="1">
      <c r="A86" s="8" t="s">
        <v>28</v>
      </c>
      <c r="B86" s="27">
        <v>0</v>
      </c>
      <c r="C86" s="27">
        <v>0</v>
      </c>
      <c r="D86" s="27">
        <v>0</v>
      </c>
      <c r="E86" s="28">
        <v>0</v>
      </c>
      <c r="F86" s="28">
        <v>0</v>
      </c>
      <c r="G86" s="66">
        <v>0</v>
      </c>
      <c r="H86" s="28">
        <v>0</v>
      </c>
      <c r="I86" s="33">
        <f>D86-Февраль!D85</f>
        <v>0</v>
      </c>
    </row>
    <row r="87" spans="1:9" ht="12.75">
      <c r="A87" s="8" t="s">
        <v>29</v>
      </c>
      <c r="B87" s="27">
        <v>23085.4</v>
      </c>
      <c r="C87" s="27">
        <v>0</v>
      </c>
      <c r="D87" s="27">
        <v>0</v>
      </c>
      <c r="E87" s="28">
        <f>$D:$D/$B:$B*100</f>
        <v>0</v>
      </c>
      <c r="F87" s="28">
        <v>0</v>
      </c>
      <c r="G87" s="66">
        <v>0</v>
      </c>
      <c r="H87" s="28">
        <v>0</v>
      </c>
      <c r="I87" s="33">
        <f>D87-Февраль!D86</f>
        <v>0</v>
      </c>
    </row>
    <row r="88" spans="1:9" ht="12.75">
      <c r="A88" s="1" t="s">
        <v>30</v>
      </c>
      <c r="B88" s="27">
        <v>322837.4</v>
      </c>
      <c r="C88" s="27">
        <v>53657.1</v>
      </c>
      <c r="D88" s="27">
        <v>53388</v>
      </c>
      <c r="E88" s="28">
        <f>$D:$D/$B:$B*100</f>
        <v>16.53711744673944</v>
      </c>
      <c r="F88" s="28">
        <f>$D:$D/$C:$C*100</f>
        <v>99.49848202754156</v>
      </c>
      <c r="G88" s="66">
        <v>9036.6106</v>
      </c>
      <c r="H88" s="28">
        <f>$D:$D/$G:$G*100</f>
        <v>590.7967308008159</v>
      </c>
      <c r="I88" s="33">
        <f>D88-Февраль!D87</f>
        <v>8336.89</v>
      </c>
    </row>
    <row r="89" spans="1:9" ht="12.75">
      <c r="A89" s="7" t="s">
        <v>31</v>
      </c>
      <c r="B89" s="26">
        <v>527.7</v>
      </c>
      <c r="C89" s="26">
        <v>133.3</v>
      </c>
      <c r="D89" s="26">
        <v>133.3</v>
      </c>
      <c r="E89" s="25">
        <f>$D:$D/$B:$B*100</f>
        <v>25.260564714800076</v>
      </c>
      <c r="F89" s="25">
        <f>$D:$D/$C:$C*100</f>
        <v>100</v>
      </c>
      <c r="G89" s="66">
        <v>73.19835</v>
      </c>
      <c r="H89" s="25">
        <v>0</v>
      </c>
      <c r="I89" s="33">
        <f>D89-Февраль!D88</f>
        <v>48.370000000000005</v>
      </c>
    </row>
    <row r="90" spans="1:9" ht="25.5">
      <c r="A90" s="9" t="s">
        <v>32</v>
      </c>
      <c r="B90" s="26">
        <v>11358.1</v>
      </c>
      <c r="C90" s="26">
        <v>2720.9</v>
      </c>
      <c r="D90" s="33">
        <v>2624.6</v>
      </c>
      <c r="E90" s="25">
        <f>$D:$D/$B:$B*100</f>
        <v>23.107738089997447</v>
      </c>
      <c r="F90" s="25">
        <f>$D:$D/$C:$C*100</f>
        <v>96.46072990554595</v>
      </c>
      <c r="G90" s="66">
        <v>902.92782</v>
      </c>
      <c r="H90" s="25">
        <f>$D:$D/$G:$G*100</f>
        <v>290.6766124450568</v>
      </c>
      <c r="I90" s="33">
        <f>D90-Февраль!D89</f>
        <v>2032.29</v>
      </c>
    </row>
    <row r="91" spans="1:9" ht="12.75">
      <c r="A91" s="7" t="s">
        <v>33</v>
      </c>
      <c r="B91" s="33">
        <f aca="true" t="shared" si="2" ref="B91:H91">B92+B93+B94+B95</f>
        <v>596302.2999999999</v>
      </c>
      <c r="C91" s="33">
        <f t="shared" si="2"/>
        <v>34422.5</v>
      </c>
      <c r="D91" s="33">
        <f t="shared" si="2"/>
        <v>35112.100000000006</v>
      </c>
      <c r="E91" s="33">
        <f t="shared" si="2"/>
        <v>32.85806682216892</v>
      </c>
      <c r="F91" s="33">
        <f t="shared" si="2"/>
        <v>221.1553210418137</v>
      </c>
      <c r="G91" s="80">
        <f t="shared" si="2"/>
        <v>10592.23345</v>
      </c>
      <c r="H91" s="33">
        <f t="shared" si="2"/>
        <v>140.78815370907895</v>
      </c>
      <c r="I91" s="33">
        <f>D91-Февраль!D90</f>
        <v>21203.700000000004</v>
      </c>
    </row>
    <row r="92" spans="1:9" ht="12.75" customHeight="1">
      <c r="A92" s="10" t="s">
        <v>67</v>
      </c>
      <c r="B92" s="27">
        <v>13452.3</v>
      </c>
      <c r="C92" s="27">
        <v>0</v>
      </c>
      <c r="D92" s="27">
        <v>0</v>
      </c>
      <c r="E92" s="28">
        <v>0</v>
      </c>
      <c r="F92" s="28">
        <v>0</v>
      </c>
      <c r="G92" s="66">
        <v>0</v>
      </c>
      <c r="H92" s="28">
        <v>0</v>
      </c>
      <c r="I92" s="33">
        <f>D92-Февраль!D91</f>
        <v>0</v>
      </c>
    </row>
    <row r="93" spans="1:9" ht="12.75">
      <c r="A93" s="8" t="s">
        <v>34</v>
      </c>
      <c r="B93" s="27">
        <v>29381</v>
      </c>
      <c r="C93" s="27">
        <v>4686.1</v>
      </c>
      <c r="D93" s="27">
        <v>4686.1</v>
      </c>
      <c r="E93" s="28">
        <f>$D:$D/$B:$B*100</f>
        <v>15.949423096559002</v>
      </c>
      <c r="F93" s="28">
        <v>0</v>
      </c>
      <c r="G93" s="66">
        <v>4448.69449</v>
      </c>
      <c r="H93" s="28">
        <v>0</v>
      </c>
      <c r="I93" s="33">
        <f>D93-Февраль!D92</f>
        <v>2223.9200000000005</v>
      </c>
    </row>
    <row r="94" spans="1:9" ht="12.75">
      <c r="A94" s="10" t="s">
        <v>77</v>
      </c>
      <c r="B94" s="27">
        <v>520049.8</v>
      </c>
      <c r="C94" s="27">
        <v>26476.7</v>
      </c>
      <c r="D94" s="27">
        <v>26476.7</v>
      </c>
      <c r="E94" s="28">
        <f>$D:$D/$B:$B*100</f>
        <v>5.091185498004229</v>
      </c>
      <c r="F94" s="28">
        <f>$D:$D/$C:$C*100</f>
        <v>100</v>
      </c>
      <c r="G94" s="66">
        <v>3338.40238</v>
      </c>
      <c r="H94" s="28">
        <v>0</v>
      </c>
      <c r="I94" s="33">
        <f>D94-Февраль!D93</f>
        <v>16388.74</v>
      </c>
    </row>
    <row r="95" spans="1:9" ht="12.75">
      <c r="A95" s="8" t="s">
        <v>35</v>
      </c>
      <c r="B95" s="27">
        <v>33419.2</v>
      </c>
      <c r="C95" s="27">
        <v>3259.7</v>
      </c>
      <c r="D95" s="27">
        <v>3949.3</v>
      </c>
      <c r="E95" s="28">
        <f>$D:$D/$B:$B*100</f>
        <v>11.81745822760569</v>
      </c>
      <c r="F95" s="28">
        <f>$D:$D/$C:$C*100</f>
        <v>121.15532104181368</v>
      </c>
      <c r="G95" s="66">
        <v>2805.13658</v>
      </c>
      <c r="H95" s="28">
        <f>$D:$D/$G:$G*100</f>
        <v>140.78815370907895</v>
      </c>
      <c r="I95" s="33">
        <f>D95-Февраль!D94</f>
        <v>2591.04</v>
      </c>
    </row>
    <row r="96" spans="1:9" ht="12.75">
      <c r="A96" s="7" t="s">
        <v>36</v>
      </c>
      <c r="B96" s="33">
        <f>B98+B99+B100+B97</f>
        <v>415762.26999999996</v>
      </c>
      <c r="C96" s="26">
        <f>C98+C99+C100+C97</f>
        <v>14728</v>
      </c>
      <c r="D96" s="33">
        <f>D98+D99+D100+D97</f>
        <v>14232.2</v>
      </c>
      <c r="E96" s="33">
        <f>E99+E100+E97</f>
        <v>8.922692359729048</v>
      </c>
      <c r="F96" s="25">
        <f>$D:$D/$C:$C*100</f>
        <v>96.63362303096143</v>
      </c>
      <c r="G96" s="80">
        <f>G98+G99+G100+G97</f>
        <v>12428.22898</v>
      </c>
      <c r="H96" s="28">
        <f>$D:$D/$G:$G*100</f>
        <v>114.51510929596664</v>
      </c>
      <c r="I96" s="33">
        <f>D96-Февраль!D95</f>
        <v>5201.800000000001</v>
      </c>
    </row>
    <row r="97" spans="1:9" ht="12.75">
      <c r="A97" s="8" t="s">
        <v>37</v>
      </c>
      <c r="B97" s="27">
        <v>8253.1</v>
      </c>
      <c r="C97" s="27">
        <v>0</v>
      </c>
      <c r="D97" s="27">
        <v>0</v>
      </c>
      <c r="E97" s="43">
        <v>0</v>
      </c>
      <c r="F97" s="28">
        <v>0</v>
      </c>
      <c r="G97" s="66">
        <v>0</v>
      </c>
      <c r="H97" s="28">
        <v>0</v>
      </c>
      <c r="I97" s="33">
        <f>D97-Февраль!D96</f>
        <v>0</v>
      </c>
    </row>
    <row r="98" spans="1:9" ht="12.75">
      <c r="A98" s="8" t="s">
        <v>38</v>
      </c>
      <c r="B98" s="27">
        <v>4119.67</v>
      </c>
      <c r="C98" s="27">
        <v>0</v>
      </c>
      <c r="D98" s="27">
        <v>0</v>
      </c>
      <c r="E98" s="28">
        <f aca="true" t="shared" si="3" ref="E98:E103">$D:$D/$B:$B*100</f>
        <v>0</v>
      </c>
      <c r="F98" s="28">
        <v>0</v>
      </c>
      <c r="G98" s="66">
        <v>0</v>
      </c>
      <c r="H98" s="28">
        <v>0</v>
      </c>
      <c r="I98" s="33">
        <f>D98-Февраль!D97</f>
        <v>0</v>
      </c>
    </row>
    <row r="99" spans="1:9" ht="12.75">
      <c r="A99" s="8" t="s">
        <v>39</v>
      </c>
      <c r="B99" s="27">
        <v>296762</v>
      </c>
      <c r="C99" s="27">
        <v>7364.1</v>
      </c>
      <c r="D99" s="27">
        <v>7364.1</v>
      </c>
      <c r="E99" s="28">
        <f t="shared" si="3"/>
        <v>2.4814834783429145</v>
      </c>
      <c r="F99" s="28">
        <f>$D:$D/$C:$C*100</f>
        <v>100</v>
      </c>
      <c r="G99" s="66">
        <v>7430.18189</v>
      </c>
      <c r="H99" s="28">
        <v>0</v>
      </c>
      <c r="I99" s="33">
        <f>D99-Февраль!D98</f>
        <v>2407.1600000000008</v>
      </c>
    </row>
    <row r="100" spans="1:9" ht="12.75">
      <c r="A100" s="8" t="s">
        <v>40</v>
      </c>
      <c r="B100" s="27">
        <v>106627.5</v>
      </c>
      <c r="C100" s="27">
        <v>7363.9</v>
      </c>
      <c r="D100" s="27">
        <v>6868.1</v>
      </c>
      <c r="E100" s="28">
        <f t="shared" si="3"/>
        <v>6.441208881386134</v>
      </c>
      <c r="F100" s="28">
        <f>$D:$D/$C:$C*100</f>
        <v>93.26715463273538</v>
      </c>
      <c r="G100" s="66">
        <v>4998.04709</v>
      </c>
      <c r="H100" s="28">
        <f>$D:$D/$G:$G*100</f>
        <v>137.41567208803548</v>
      </c>
      <c r="I100" s="33">
        <f>D100-Февраль!D99</f>
        <v>2794.6400000000003</v>
      </c>
    </row>
    <row r="101" spans="1:9" ht="12.75">
      <c r="A101" s="11" t="s">
        <v>115</v>
      </c>
      <c r="B101" s="33">
        <f>B102+B103</f>
        <v>14079.4</v>
      </c>
      <c r="C101" s="33">
        <f>C102+C103</f>
        <v>595.9</v>
      </c>
      <c r="D101" s="33">
        <f>D102+D103</f>
        <v>595.9</v>
      </c>
      <c r="E101" s="25">
        <f t="shared" si="3"/>
        <v>4.232424677187948</v>
      </c>
      <c r="F101" s="25"/>
      <c r="G101" s="80">
        <f>G102</f>
        <v>127.74</v>
      </c>
      <c r="H101" s="25">
        <f>$D:$D/$G:$G*100</f>
        <v>466.4944418349773</v>
      </c>
      <c r="I101" s="33">
        <f>D101-Февраль!D100</f>
        <v>349.34</v>
      </c>
    </row>
    <row r="102" spans="1:9" ht="25.5">
      <c r="A102" s="39" t="s">
        <v>166</v>
      </c>
      <c r="B102" s="91">
        <v>2094</v>
      </c>
      <c r="C102" s="91">
        <v>595.9</v>
      </c>
      <c r="D102" s="91">
        <v>595.9</v>
      </c>
      <c r="E102" s="28">
        <f t="shared" si="3"/>
        <v>28.457497612225406</v>
      </c>
      <c r="F102" s="28"/>
      <c r="G102" s="66">
        <v>127.74</v>
      </c>
      <c r="H102" s="28">
        <v>0</v>
      </c>
      <c r="I102" s="33">
        <f>D102-Февраль!D101</f>
        <v>349.34</v>
      </c>
    </row>
    <row r="103" spans="1:9" ht="25.5">
      <c r="A103" s="39" t="s">
        <v>165</v>
      </c>
      <c r="B103" s="91">
        <v>11985.4</v>
      </c>
      <c r="C103" s="91">
        <v>0</v>
      </c>
      <c r="D103" s="91">
        <v>0</v>
      </c>
      <c r="E103" s="28">
        <f t="shared" si="3"/>
        <v>0</v>
      </c>
      <c r="F103" s="28"/>
      <c r="G103" s="85">
        <v>0</v>
      </c>
      <c r="H103" s="28">
        <v>0</v>
      </c>
      <c r="I103" s="33">
        <f>D103</f>
        <v>0</v>
      </c>
    </row>
    <row r="104" spans="1:9" ht="12.75">
      <c r="A104" s="11" t="s">
        <v>41</v>
      </c>
      <c r="B104" s="33">
        <f>B105+B106+B108+B109+B110+B107</f>
        <v>1856562.9200000002</v>
      </c>
      <c r="C104" s="33">
        <f>C105+C106+C108+C109+C110+C107</f>
        <v>372906.3</v>
      </c>
      <c r="D104" s="33">
        <f>D105+D106+D108+D109+D110+D107</f>
        <v>372875.3</v>
      </c>
      <c r="E104" s="33">
        <f>E105+E106+E109+E110+E108</f>
        <v>87.03237904908741</v>
      </c>
      <c r="F104" s="33">
        <f>F105+F106+F109+F110+F108</f>
        <v>499.923017132413</v>
      </c>
      <c r="G104" s="80">
        <f>G105+G106+G108+G109+G110+G107</f>
        <v>310226.97911</v>
      </c>
      <c r="H104" s="33">
        <f>H105+H106+H109+H110+H108</f>
        <v>436.27274765781294</v>
      </c>
      <c r="I104" s="33">
        <f>D104-Февраль!D102</f>
        <v>158474.50999999998</v>
      </c>
    </row>
    <row r="105" spans="1:9" ht="12.75">
      <c r="A105" s="8" t="s">
        <v>42</v>
      </c>
      <c r="B105" s="27">
        <v>717907.5</v>
      </c>
      <c r="C105" s="27">
        <v>149071.3</v>
      </c>
      <c r="D105" s="27">
        <v>149071.3</v>
      </c>
      <c r="E105" s="28">
        <f aca="true" t="shared" si="4" ref="E105:E115">$D:$D/$B:$B*100</f>
        <v>20.764694615949825</v>
      </c>
      <c r="F105" s="28">
        <f aca="true" t="shared" si="5" ref="F105:F113">$D:$D/$C:$C*100</f>
        <v>100</v>
      </c>
      <c r="G105" s="66">
        <v>123499.6752</v>
      </c>
      <c r="H105" s="28">
        <f>$D:$D/$G:$G*100</f>
        <v>120.70582352430348</v>
      </c>
      <c r="I105" s="33">
        <f>D105-Февраль!D103</f>
        <v>63416.26999999999</v>
      </c>
    </row>
    <row r="106" spans="1:9" ht="12.75">
      <c r="A106" s="8" t="s">
        <v>43</v>
      </c>
      <c r="B106" s="27">
        <v>747745.6</v>
      </c>
      <c r="C106" s="27">
        <v>151853.2</v>
      </c>
      <c r="D106" s="27">
        <v>151853.2</v>
      </c>
      <c r="E106" s="28">
        <f t="shared" si="4"/>
        <v>20.308136885058236</v>
      </c>
      <c r="F106" s="28">
        <f t="shared" si="5"/>
        <v>100</v>
      </c>
      <c r="G106" s="66">
        <v>121792.82254000001</v>
      </c>
      <c r="H106" s="28">
        <f>$D:$D/$G:$G*100</f>
        <v>124.68156729853877</v>
      </c>
      <c r="I106" s="33">
        <f>D106-Февраль!D104</f>
        <v>65203.73000000001</v>
      </c>
    </row>
    <row r="107" spans="1:9" ht="12.75">
      <c r="A107" s="90" t="s">
        <v>105</v>
      </c>
      <c r="B107" s="27">
        <v>145384.7</v>
      </c>
      <c r="C107" s="27">
        <v>28280.8</v>
      </c>
      <c r="D107" s="27">
        <v>28280.8</v>
      </c>
      <c r="E107" s="28">
        <f t="shared" si="4"/>
        <v>19.452390794904826</v>
      </c>
      <c r="F107" s="28">
        <f t="shared" si="5"/>
        <v>100</v>
      </c>
      <c r="G107" s="66">
        <v>25932.50765</v>
      </c>
      <c r="H107" s="28">
        <f>$D:$D/$G:$G*100</f>
        <v>109.05540020153046</v>
      </c>
      <c r="I107" s="33">
        <f>D107-Февраль!D105</f>
        <v>12416.48</v>
      </c>
    </row>
    <row r="108" spans="1:9" ht="25.5">
      <c r="A108" s="8" t="s">
        <v>123</v>
      </c>
      <c r="B108" s="27">
        <v>372.36</v>
      </c>
      <c r="C108" s="27">
        <v>49.7</v>
      </c>
      <c r="D108" s="27">
        <v>49.7</v>
      </c>
      <c r="E108" s="28">
        <f t="shared" si="4"/>
        <v>13.347298313460094</v>
      </c>
      <c r="F108" s="28">
        <f t="shared" si="5"/>
        <v>100</v>
      </c>
      <c r="G108" s="66">
        <v>76.24</v>
      </c>
      <c r="H108" s="28">
        <v>0</v>
      </c>
      <c r="I108" s="33">
        <f>D108-Февраль!D106</f>
        <v>21.500000000000004</v>
      </c>
    </row>
    <row r="109" spans="1:9" ht="12.75">
      <c r="A109" s="8" t="s">
        <v>44</v>
      </c>
      <c r="B109" s="27">
        <v>23378.76</v>
      </c>
      <c r="C109" s="27">
        <v>3382.6</v>
      </c>
      <c r="D109" s="27">
        <v>3382.6</v>
      </c>
      <c r="E109" s="28">
        <f t="shared" si="4"/>
        <v>14.468688672966405</v>
      </c>
      <c r="F109" s="28">
        <f t="shared" si="5"/>
        <v>100</v>
      </c>
      <c r="G109" s="66">
        <v>4589.89113</v>
      </c>
      <c r="H109" s="28">
        <f>$D:$D/$G:$G*100</f>
        <v>73.69673711628973</v>
      </c>
      <c r="I109" s="33">
        <f>D109-Февраль!D107</f>
        <v>1445.99</v>
      </c>
    </row>
    <row r="110" spans="1:9" ht="12.75">
      <c r="A110" s="8" t="s">
        <v>45</v>
      </c>
      <c r="B110" s="27">
        <v>221774</v>
      </c>
      <c r="C110" s="27">
        <v>40268.7</v>
      </c>
      <c r="D110" s="27">
        <v>40237.7</v>
      </c>
      <c r="E110" s="28">
        <f t="shared" si="4"/>
        <v>18.14356056165285</v>
      </c>
      <c r="F110" s="28">
        <f t="shared" si="5"/>
        <v>99.92301713241302</v>
      </c>
      <c r="G110" s="66">
        <v>34335.84259</v>
      </c>
      <c r="H110" s="28">
        <f>$D:$D/$G:$G*100</f>
        <v>117.18861971868097</v>
      </c>
      <c r="I110" s="33">
        <f>D110-Февраль!D108</f>
        <v>15970.539999999997</v>
      </c>
    </row>
    <row r="111" spans="1:9" ht="25.5">
      <c r="A111" s="11" t="s">
        <v>46</v>
      </c>
      <c r="B111" s="33">
        <f>B112+B113</f>
        <v>307737.44</v>
      </c>
      <c r="C111" s="33">
        <f>C112+C113</f>
        <v>51415.7</v>
      </c>
      <c r="D111" s="33">
        <f>D112+D113</f>
        <v>51405.899999999994</v>
      </c>
      <c r="E111" s="25">
        <f t="shared" si="4"/>
        <v>16.704467288738087</v>
      </c>
      <c r="F111" s="25">
        <f t="shared" si="5"/>
        <v>99.98093967406842</v>
      </c>
      <c r="G111" s="80">
        <f>G112+G113</f>
        <v>25614.88217</v>
      </c>
      <c r="H111" s="25">
        <f>$D:$D/$G:$G*100</f>
        <v>200.6876301785463</v>
      </c>
      <c r="I111" s="33">
        <f>D111-Февраль!D109</f>
        <v>32945.85999999999</v>
      </c>
    </row>
    <row r="112" spans="1:9" ht="12.75">
      <c r="A112" s="8" t="s">
        <v>47</v>
      </c>
      <c r="B112" s="27">
        <v>219701.1</v>
      </c>
      <c r="C112" s="27">
        <v>37688.6</v>
      </c>
      <c r="D112" s="27">
        <v>37688.6</v>
      </c>
      <c r="E112" s="28">
        <f t="shared" si="4"/>
        <v>17.15448853009839</v>
      </c>
      <c r="F112" s="28">
        <f t="shared" si="5"/>
        <v>100</v>
      </c>
      <c r="G112" s="66">
        <v>25140.84447</v>
      </c>
      <c r="H112" s="28">
        <f>$D:$D/$G:$G*100</f>
        <v>149.90984111521374</v>
      </c>
      <c r="I112" s="33">
        <f>D112-Февраль!D110</f>
        <v>19629.989999999998</v>
      </c>
    </row>
    <row r="113" spans="1:9" ht="25.5">
      <c r="A113" s="8" t="s">
        <v>48</v>
      </c>
      <c r="B113" s="27">
        <v>88036.34</v>
      </c>
      <c r="C113" s="27">
        <v>13727.1</v>
      </c>
      <c r="D113" s="27">
        <v>13717.3</v>
      </c>
      <c r="E113" s="28">
        <f t="shared" si="4"/>
        <v>15.581406496453623</v>
      </c>
      <c r="F113" s="28">
        <f t="shared" si="5"/>
        <v>99.92860837321793</v>
      </c>
      <c r="G113" s="66">
        <v>474.03770000000003</v>
      </c>
      <c r="H113" s="28">
        <v>0</v>
      </c>
      <c r="I113" s="33">
        <f>D113-Февраль!D111</f>
        <v>13315.869999999999</v>
      </c>
    </row>
    <row r="114" spans="1:9" ht="12.75">
      <c r="A114" s="11" t="s">
        <v>97</v>
      </c>
      <c r="B114" s="33">
        <f>B115</f>
        <v>163.45</v>
      </c>
      <c r="C114" s="33">
        <f>C115</f>
        <v>0</v>
      </c>
      <c r="D114" s="33">
        <f>D115</f>
        <v>0</v>
      </c>
      <c r="E114" s="25">
        <f t="shared" si="4"/>
        <v>0</v>
      </c>
      <c r="F114" s="25">
        <v>0</v>
      </c>
      <c r="G114" s="33">
        <f>G115</f>
        <v>0</v>
      </c>
      <c r="H114" s="25">
        <v>0</v>
      </c>
      <c r="I114" s="33">
        <f>D114-Февраль!D112</f>
        <v>0</v>
      </c>
    </row>
    <row r="115" spans="1:9" ht="12.75">
      <c r="A115" s="8" t="s">
        <v>98</v>
      </c>
      <c r="B115" s="27">
        <v>163.45</v>
      </c>
      <c r="C115" s="27">
        <v>0</v>
      </c>
      <c r="D115" s="27">
        <v>0</v>
      </c>
      <c r="E115" s="28">
        <f t="shared" si="4"/>
        <v>0</v>
      </c>
      <c r="F115" s="28">
        <v>0</v>
      </c>
      <c r="G115" s="34">
        <v>0</v>
      </c>
      <c r="H115" s="28">
        <v>0</v>
      </c>
      <c r="I115" s="33">
        <f>D115-Февраль!D113</f>
        <v>0</v>
      </c>
    </row>
    <row r="116" spans="1:9" ht="12.75">
      <c r="A116" s="11" t="s">
        <v>49</v>
      </c>
      <c r="B116" s="33">
        <f>B117+B118+B119+B120</f>
        <v>161154.18</v>
      </c>
      <c r="C116" s="33">
        <f>C117+C118+C119+C120</f>
        <v>27056.9</v>
      </c>
      <c r="D116" s="33">
        <f>D117+D118+D119+D120</f>
        <v>26850.000000000004</v>
      </c>
      <c r="E116" s="33">
        <f>E117+E118+E119+E120</f>
        <v>56.30164777955693</v>
      </c>
      <c r="F116" s="33">
        <f>F117+F118+F119+F120</f>
        <v>188.82898425706276</v>
      </c>
      <c r="G116" s="80">
        <f>G117++G118+G119+G120</f>
        <v>16840.61793</v>
      </c>
      <c r="H116" s="25">
        <v>0</v>
      </c>
      <c r="I116" s="33">
        <f>D116-Февраль!D114</f>
        <v>18322.600000000006</v>
      </c>
    </row>
    <row r="117" spans="1:9" ht="12.75">
      <c r="A117" s="8" t="s">
        <v>50</v>
      </c>
      <c r="B117" s="27">
        <v>3025.38</v>
      </c>
      <c r="C117" s="27">
        <v>377.3</v>
      </c>
      <c r="D117" s="27">
        <v>377.3</v>
      </c>
      <c r="E117" s="28">
        <f aca="true" t="shared" si="6" ref="E117:E122">$D:$D/$B:$B*100</f>
        <v>12.471160647588071</v>
      </c>
      <c r="F117" s="28">
        <v>0</v>
      </c>
      <c r="G117" s="66">
        <v>426.51244</v>
      </c>
      <c r="H117" s="28">
        <v>0</v>
      </c>
      <c r="I117" s="33">
        <f>D117-Февраль!D115</f>
        <v>188.66000000000003</v>
      </c>
    </row>
    <row r="118" spans="1:9" ht="12.75">
      <c r="A118" s="8" t="s">
        <v>52</v>
      </c>
      <c r="B118" s="27">
        <v>106148.5</v>
      </c>
      <c r="C118" s="27">
        <v>23285.9</v>
      </c>
      <c r="D118" s="27">
        <v>23285.9</v>
      </c>
      <c r="E118" s="28">
        <f t="shared" si="6"/>
        <v>21.937097556724776</v>
      </c>
      <c r="F118" s="28">
        <f>$D:$D/$C:$C*100</f>
        <v>100</v>
      </c>
      <c r="G118" s="66">
        <v>15146.01516</v>
      </c>
      <c r="H118" s="28">
        <v>0</v>
      </c>
      <c r="I118" s="33">
        <f>D118-Февраль!D117</f>
        <v>15613.900000000001</v>
      </c>
    </row>
    <row r="119" spans="1:9" ht="12.75">
      <c r="A119" s="8" t="s">
        <v>53</v>
      </c>
      <c r="B119" s="27">
        <v>49450.5</v>
      </c>
      <c r="C119" s="27">
        <v>2930</v>
      </c>
      <c r="D119" s="27">
        <v>2774.9</v>
      </c>
      <c r="E119" s="28">
        <f t="shared" si="6"/>
        <v>5.6114700559145</v>
      </c>
      <c r="F119" s="28">
        <v>0</v>
      </c>
      <c r="G119" s="66">
        <v>809.455</v>
      </c>
      <c r="H119" s="28">
        <v>0</v>
      </c>
      <c r="I119" s="33">
        <f>D119-Февраль!D118</f>
        <v>2261.04</v>
      </c>
    </row>
    <row r="120" spans="1:9" ht="12.75">
      <c r="A120" s="8" t="s">
        <v>54</v>
      </c>
      <c r="B120" s="27">
        <v>2529.8</v>
      </c>
      <c r="C120" s="27">
        <v>463.7</v>
      </c>
      <c r="D120" s="27">
        <v>411.9</v>
      </c>
      <c r="E120" s="28">
        <f t="shared" si="6"/>
        <v>16.281919519329588</v>
      </c>
      <c r="F120" s="28">
        <f>$D:$D/$C:$C*100</f>
        <v>88.82898425706274</v>
      </c>
      <c r="G120" s="66">
        <v>458.63533</v>
      </c>
      <c r="H120" s="28">
        <f>$D:$D/$G:$G*100</f>
        <v>89.80991499281139</v>
      </c>
      <c r="I120" s="33">
        <f>D120-Февраль!D119</f>
        <v>259</v>
      </c>
    </row>
    <row r="121" spans="1:9" ht="12.75">
      <c r="A121" s="11" t="s">
        <v>61</v>
      </c>
      <c r="B121" s="26">
        <f>B122+B123+B124</f>
        <v>351596.1</v>
      </c>
      <c r="C121" s="26">
        <f>C122+C123+C124</f>
        <v>44728.9</v>
      </c>
      <c r="D121" s="26">
        <f>D122+D123+D124</f>
        <v>44725.8</v>
      </c>
      <c r="E121" s="25">
        <f t="shared" si="6"/>
        <v>12.72078956507197</v>
      </c>
      <c r="F121" s="25">
        <f>$D:$D/$C:$C*100</f>
        <v>99.99306935784247</v>
      </c>
      <c r="G121" s="77">
        <f>G122+G123+G124</f>
        <v>16917.542739999997</v>
      </c>
      <c r="H121" s="25">
        <f>$D:$D/$G:$G*100</f>
        <v>264.3752741599399</v>
      </c>
      <c r="I121" s="33">
        <f>D121-Февраль!D120</f>
        <v>26125.160000000003</v>
      </c>
    </row>
    <row r="122" spans="1:9" ht="12.75">
      <c r="A122" s="92" t="s">
        <v>63</v>
      </c>
      <c r="B122" s="27">
        <v>290769.3</v>
      </c>
      <c r="C122" s="27">
        <v>31917.7</v>
      </c>
      <c r="D122" s="27">
        <v>31917.7</v>
      </c>
      <c r="E122" s="28">
        <f t="shared" si="6"/>
        <v>10.976984158919116</v>
      </c>
      <c r="F122" s="28">
        <f>$D:$D/$C:$C*100</f>
        <v>100</v>
      </c>
      <c r="G122" s="66">
        <v>15542.313289999998</v>
      </c>
      <c r="H122" s="28">
        <v>0</v>
      </c>
      <c r="I122" s="33">
        <f>D122-Февраль!D121</f>
        <v>21134.13</v>
      </c>
    </row>
    <row r="123" spans="1:9" ht="24.75" customHeight="1">
      <c r="A123" s="92" t="s">
        <v>154</v>
      </c>
      <c r="B123" s="27">
        <v>55775.1</v>
      </c>
      <c r="C123" s="27">
        <v>11607.8</v>
      </c>
      <c r="D123" s="27">
        <v>11607.8</v>
      </c>
      <c r="E123" s="28">
        <v>0</v>
      </c>
      <c r="F123" s="28">
        <v>0</v>
      </c>
      <c r="G123" s="66">
        <v>602.98484</v>
      </c>
      <c r="H123" s="28">
        <v>0</v>
      </c>
      <c r="I123" s="33">
        <f>D123-Февраль!D122</f>
        <v>4449.239999999999</v>
      </c>
    </row>
    <row r="124" spans="1:9" ht="25.5">
      <c r="A124" s="12" t="s">
        <v>73</v>
      </c>
      <c r="B124" s="27">
        <v>5051.7</v>
      </c>
      <c r="C124" s="27">
        <v>1203.4</v>
      </c>
      <c r="D124" s="27">
        <v>1200.3</v>
      </c>
      <c r="E124" s="28">
        <f>$D:$D/$B:$B*100</f>
        <v>23.760318308688163</v>
      </c>
      <c r="F124" s="28">
        <f>$D:$D/$C:$C*100</f>
        <v>99.7423965431278</v>
      </c>
      <c r="G124" s="66">
        <v>772.24461</v>
      </c>
      <c r="H124" s="28">
        <v>0</v>
      </c>
      <c r="I124" s="33">
        <f>D124-Февраль!D123</f>
        <v>541.79</v>
      </c>
    </row>
    <row r="125" spans="1:9" ht="26.25" customHeight="1">
      <c r="A125" s="13" t="s">
        <v>80</v>
      </c>
      <c r="B125" s="26">
        <f>B126</f>
        <v>100</v>
      </c>
      <c r="C125" s="26">
        <f>C126</f>
        <v>5.75</v>
      </c>
      <c r="D125" s="26">
        <f>D126</f>
        <v>5.75</v>
      </c>
      <c r="E125" s="28">
        <f>$D:$D/$B:$B*100</f>
        <v>5.75</v>
      </c>
      <c r="F125" s="28">
        <v>0</v>
      </c>
      <c r="G125" s="66">
        <v>2.01384</v>
      </c>
      <c r="H125" s="28">
        <v>0</v>
      </c>
      <c r="I125" s="33">
        <f>D125-Февраль!D124</f>
        <v>0</v>
      </c>
    </row>
    <row r="126" spans="1:9" ht="13.5" customHeight="1">
      <c r="A126" s="12" t="s">
        <v>81</v>
      </c>
      <c r="B126" s="27">
        <v>100</v>
      </c>
      <c r="C126" s="27">
        <v>5.75</v>
      </c>
      <c r="D126" s="27">
        <v>5.75</v>
      </c>
      <c r="E126" s="28">
        <f>$D:$D/$B:$B*100</f>
        <v>5.75</v>
      </c>
      <c r="F126" s="28">
        <v>0</v>
      </c>
      <c r="G126" s="93">
        <f>2013.84/1000</f>
        <v>2.01384</v>
      </c>
      <c r="H126" s="28">
        <v>0</v>
      </c>
      <c r="I126" s="33">
        <f>D126-Февраль!D125</f>
        <v>0</v>
      </c>
    </row>
    <row r="127" spans="1:9" ht="15.75" customHeight="1">
      <c r="A127" s="14" t="s">
        <v>55</v>
      </c>
      <c r="B127" s="33">
        <f>B80+B89+B90+B91+B96+B104+B111+B114+B116+B121+B125+B101</f>
        <v>4158425.1000000006</v>
      </c>
      <c r="C127" s="33">
        <f>C80+C89+C90+C91+C96+C104+C111+C114+C116+C121+C125+C101</f>
        <v>626268.75</v>
      </c>
      <c r="D127" s="33">
        <f>D80+D89+D90+D91+D96+D104+D111+D114+D116+D121+D125+D101</f>
        <v>625444.65</v>
      </c>
      <c r="E127" s="25">
        <f>$D:$D/$B:$B*100</f>
        <v>15.04042119214796</v>
      </c>
      <c r="F127" s="25">
        <f>$D:$D/$C:$C*100</f>
        <v>99.8684111254154</v>
      </c>
      <c r="G127" s="33">
        <v>421362.94799</v>
      </c>
      <c r="H127" s="25">
        <f>$D:$D/$G:$G*100</f>
        <v>148.4337085127009</v>
      </c>
      <c r="I127" s="33">
        <f>D127-Февраль!D126</f>
        <v>285661.38</v>
      </c>
    </row>
    <row r="128" spans="1:9" ht="26.25" customHeight="1">
      <c r="A128" s="79" t="s">
        <v>56</v>
      </c>
      <c r="B128" s="80">
        <f>B74-B127</f>
        <v>-171004.7400000007</v>
      </c>
      <c r="C128" s="80">
        <f>C74-C127</f>
        <v>286388.05000000005</v>
      </c>
      <c r="D128" s="80">
        <f>D74-D127</f>
        <v>152262.05000000005</v>
      </c>
      <c r="E128" s="80"/>
      <c r="F128" s="80"/>
      <c r="G128" s="80">
        <v>49069.46248999995</v>
      </c>
      <c r="H128" s="80"/>
      <c r="I128" s="33">
        <f>D128-Февраль!D127</f>
        <v>124435.67000000004</v>
      </c>
    </row>
    <row r="129" spans="1:9" ht="24" customHeight="1">
      <c r="A129" s="1" t="s">
        <v>57</v>
      </c>
      <c r="B129" s="27" t="s">
        <v>159</v>
      </c>
      <c r="C129" s="27"/>
      <c r="D129" s="27" t="s">
        <v>167</v>
      </c>
      <c r="E129" s="27"/>
      <c r="F129" s="27"/>
      <c r="G129" s="27" t="s">
        <v>168</v>
      </c>
      <c r="H129" s="26"/>
      <c r="I129" s="33"/>
    </row>
    <row r="130" spans="1:9" ht="12.75">
      <c r="A130" s="3" t="s">
        <v>58</v>
      </c>
      <c r="B130" s="77">
        <f>B132+B133</f>
        <v>99223.6</v>
      </c>
      <c r="C130" s="77">
        <f aca="true" t="shared" si="7" ref="C130:H130">C132+C133</f>
        <v>0</v>
      </c>
      <c r="D130" s="77">
        <f t="shared" si="7"/>
        <v>217485.5</v>
      </c>
      <c r="E130" s="77">
        <f t="shared" si="7"/>
        <v>0</v>
      </c>
      <c r="F130" s="77">
        <f t="shared" si="7"/>
        <v>0</v>
      </c>
      <c r="G130" s="26">
        <v>83341.6</v>
      </c>
      <c r="H130" s="77">
        <f t="shared" si="7"/>
        <v>0</v>
      </c>
      <c r="I130" s="33">
        <f>D130-Февраль!D129</f>
        <v>125435.6</v>
      </c>
    </row>
    <row r="131" spans="1:9" ht="12" customHeight="1">
      <c r="A131" s="1" t="s">
        <v>6</v>
      </c>
      <c r="B131" s="78"/>
      <c r="C131" s="27"/>
      <c r="D131" s="27" t="s">
        <v>148</v>
      </c>
      <c r="E131" s="27"/>
      <c r="F131" s="27"/>
      <c r="G131" s="27"/>
      <c r="H131" s="35"/>
      <c r="I131" s="33"/>
    </row>
    <row r="132" spans="1:9" ht="12.75">
      <c r="A132" s="5" t="s">
        <v>59</v>
      </c>
      <c r="B132" s="78">
        <v>53815.7</v>
      </c>
      <c r="C132" s="27"/>
      <c r="D132" s="27">
        <v>144761.1</v>
      </c>
      <c r="E132" s="27"/>
      <c r="F132" s="27"/>
      <c r="G132" s="27">
        <v>3594.5</v>
      </c>
      <c r="H132" s="35"/>
      <c r="I132" s="33">
        <f>D132-Февраль!D131</f>
        <v>98954.3</v>
      </c>
    </row>
    <row r="133" spans="1:9" ht="12.75">
      <c r="A133" s="1" t="s">
        <v>60</v>
      </c>
      <c r="B133" s="78">
        <f>99223.6-B132</f>
        <v>45407.90000000001</v>
      </c>
      <c r="C133" s="27"/>
      <c r="D133" s="27">
        <f>217485.5-144761.1</f>
        <v>72724.4</v>
      </c>
      <c r="E133" s="27"/>
      <c r="F133" s="27"/>
      <c r="G133" s="27">
        <v>79747.1</v>
      </c>
      <c r="H133" s="35"/>
      <c r="I133" s="33">
        <f>D133-Февраль!D132</f>
        <v>26481.300000000003</v>
      </c>
    </row>
    <row r="134" spans="1:9" ht="12.75">
      <c r="A134" s="3" t="s">
        <v>99</v>
      </c>
      <c r="B134" s="26">
        <f>B135-B136</f>
        <v>22950</v>
      </c>
      <c r="C134" s="26">
        <f aca="true" t="shared" si="8" ref="C134:H134">C135-C136</f>
        <v>-35000</v>
      </c>
      <c r="D134" s="26">
        <f t="shared" si="8"/>
        <v>-35000</v>
      </c>
      <c r="E134" s="26">
        <f t="shared" si="8"/>
        <v>0</v>
      </c>
      <c r="F134" s="26">
        <f t="shared" si="8"/>
        <v>0</v>
      </c>
      <c r="G134" s="26">
        <f>G135-G136</f>
        <v>-12050</v>
      </c>
      <c r="H134" s="26">
        <f t="shared" si="8"/>
        <v>0</v>
      </c>
      <c r="I134" s="33">
        <f>D134-Февраль!D133</f>
        <v>0</v>
      </c>
    </row>
    <row r="135" spans="1:9" ht="12.75">
      <c r="A135" s="2" t="s">
        <v>100</v>
      </c>
      <c r="B135" s="27">
        <v>35000</v>
      </c>
      <c r="C135" s="27">
        <v>0</v>
      </c>
      <c r="D135" s="27">
        <v>0</v>
      </c>
      <c r="E135" s="36"/>
      <c r="F135" s="36"/>
      <c r="G135" s="27">
        <v>0</v>
      </c>
      <c r="H135" s="37"/>
      <c r="I135" s="33">
        <f>D135-Февраль!D134</f>
        <v>0</v>
      </c>
    </row>
    <row r="136" spans="1:9" ht="12.75">
      <c r="A136" s="2" t="s">
        <v>101</v>
      </c>
      <c r="B136" s="27">
        <v>12050</v>
      </c>
      <c r="C136" s="27">
        <v>35000</v>
      </c>
      <c r="D136" s="27">
        <v>35000</v>
      </c>
      <c r="E136" s="36"/>
      <c r="F136" s="36"/>
      <c r="G136" s="27">
        <v>12050</v>
      </c>
      <c r="H136" s="37"/>
      <c r="I136" s="33">
        <f>D136-Февраль!D135</f>
        <v>0</v>
      </c>
    </row>
    <row r="137" spans="1:9" ht="12.75">
      <c r="A137" s="15"/>
      <c r="B137" s="24"/>
      <c r="C137" s="24"/>
      <c r="D137" s="24"/>
      <c r="E137" s="24"/>
      <c r="F137" s="24"/>
      <c r="G137" s="84"/>
      <c r="H137" s="24"/>
      <c r="I137" s="24"/>
    </row>
    <row r="139" ht="12" customHeight="1">
      <c r="A139" s="21" t="s">
        <v>79</v>
      </c>
    </row>
    <row r="140" ht="12.75" customHeight="1" hidden="1"/>
    <row r="142" spans="1:9" ht="25.5">
      <c r="A142" s="15" t="s">
        <v>103</v>
      </c>
      <c r="B142" s="24"/>
      <c r="C142" s="24"/>
      <c r="D142" s="24" t="s">
        <v>137</v>
      </c>
      <c r="E142" s="24"/>
      <c r="F142" s="24"/>
      <c r="G142" s="84"/>
      <c r="H142" s="24"/>
      <c r="I142" s="24"/>
    </row>
  </sheetData>
  <sheetProtection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2"/>
  <sheetViews>
    <sheetView view="pageBreakPreview" zoomScaleSheetLayoutView="100" zoomScalePageLayoutView="0" workbookViewId="0" topLeftCell="A1">
      <pane xSplit="1" ySplit="6" topLeftCell="B9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00" sqref="A100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85" customWidth="1"/>
    <col min="8" max="8" width="11.875" style="22" customWidth="1"/>
    <col min="9" max="9" width="10.00390625" style="22" customWidth="1"/>
    <col min="10" max="16384" width="9.125" style="21" customWidth="1"/>
  </cols>
  <sheetData>
    <row r="1" spans="1:9" ht="12.75">
      <c r="A1" s="117" t="s">
        <v>102</v>
      </c>
      <c r="B1" s="117"/>
      <c r="C1" s="117"/>
      <c r="D1" s="117"/>
      <c r="E1" s="117"/>
      <c r="F1" s="117"/>
      <c r="G1" s="117"/>
      <c r="H1" s="117"/>
      <c r="I1" s="86"/>
    </row>
    <row r="2" spans="1:9" ht="12.75">
      <c r="A2" s="118" t="s">
        <v>170</v>
      </c>
      <c r="B2" s="118"/>
      <c r="C2" s="118"/>
      <c r="D2" s="118"/>
      <c r="E2" s="118"/>
      <c r="F2" s="118"/>
      <c r="G2" s="118"/>
      <c r="H2" s="118"/>
      <c r="I2" s="87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1"/>
    </row>
    <row r="4" spans="1:9" ht="45" customHeight="1">
      <c r="A4" s="4" t="s">
        <v>1</v>
      </c>
      <c r="B4" s="17" t="s">
        <v>2</v>
      </c>
      <c r="C4" s="17" t="s">
        <v>169</v>
      </c>
      <c r="D4" s="17" t="s">
        <v>68</v>
      </c>
      <c r="E4" s="17" t="s">
        <v>66</v>
      </c>
      <c r="F4" s="17" t="s">
        <v>69</v>
      </c>
      <c r="G4" s="17" t="s">
        <v>156</v>
      </c>
      <c r="H4" s="17" t="s">
        <v>65</v>
      </c>
      <c r="I4" s="17" t="s">
        <v>71</v>
      </c>
    </row>
    <row r="5" spans="1:9" ht="12.75">
      <c r="A5" s="88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ht="12.75">
      <c r="A6" s="119" t="s">
        <v>3</v>
      </c>
      <c r="B6" s="119"/>
      <c r="C6" s="119"/>
      <c r="D6" s="119"/>
      <c r="E6" s="119"/>
      <c r="F6" s="119"/>
      <c r="G6" s="119"/>
      <c r="H6" s="119"/>
      <c r="I6" s="120"/>
    </row>
    <row r="7" spans="1:9" ht="12.75">
      <c r="A7" s="46" t="s">
        <v>104</v>
      </c>
      <c r="B7" s="33">
        <f>B8+B17+B22+B27+B30+B38+B47+B48+B49+B53+B64</f>
        <v>722378.1900000001</v>
      </c>
      <c r="C7" s="33">
        <f>C8+C17+C22+C27+C30+C38+C47+C48+C49+C53+C64</f>
        <v>190506.76</v>
      </c>
      <c r="D7" s="33">
        <f>D8+D17+D22+D27+D30+D38+D47+D48+D49+D53+D64+D37</f>
        <v>203257.98</v>
      </c>
      <c r="E7" s="25">
        <f>D7/B7*100</f>
        <v>28.13733620612217</v>
      </c>
      <c r="F7" s="25">
        <v>27699.089999999997</v>
      </c>
      <c r="G7" s="33">
        <f>'[1]Апрель'!D7</f>
        <v>221241.6</v>
      </c>
      <c r="H7" s="25">
        <f>C7/G7*100</f>
        <v>86.10801946830976</v>
      </c>
      <c r="I7" s="33">
        <f>D7-март!D7</f>
        <v>80183.47999999998</v>
      </c>
    </row>
    <row r="8" spans="1:9" ht="12.75">
      <c r="A8" s="47" t="s">
        <v>4</v>
      </c>
      <c r="B8" s="25">
        <f>B9+B10</f>
        <v>365325.60000000003</v>
      </c>
      <c r="C8" s="25">
        <f>C9+C10</f>
        <v>85621</v>
      </c>
      <c r="D8" s="25">
        <f>D9+D10</f>
        <v>86612.71000000002</v>
      </c>
      <c r="E8" s="25">
        <f aca="true" t="shared" si="0" ref="E8:E73">D8/B8*100</f>
        <v>23.708360432447115</v>
      </c>
      <c r="F8" s="25">
        <v>10645.39</v>
      </c>
      <c r="G8" s="33">
        <f>'[1]Апрель'!D8</f>
        <v>126230.90000000002</v>
      </c>
      <c r="H8" s="25">
        <f aca="true" t="shared" si="1" ref="H8:H73">C8/G8*100</f>
        <v>67.82887549720392</v>
      </c>
      <c r="I8" s="33">
        <f>D8-март!D8</f>
        <v>21460.210000000006</v>
      </c>
    </row>
    <row r="9" spans="1:9" ht="25.5">
      <c r="A9" s="54" t="s">
        <v>5</v>
      </c>
      <c r="B9" s="27">
        <v>8631</v>
      </c>
      <c r="C9" s="27">
        <v>5750</v>
      </c>
      <c r="D9" s="27">
        <v>6328.13</v>
      </c>
      <c r="E9" s="27">
        <f t="shared" si="0"/>
        <v>73.31861893175761</v>
      </c>
      <c r="F9" s="25">
        <v>200.86</v>
      </c>
      <c r="G9" s="33">
        <f>'[1]Апрель'!D9</f>
        <v>2223.1</v>
      </c>
      <c r="H9" s="25">
        <f t="shared" si="1"/>
        <v>258.6478341055283</v>
      </c>
      <c r="I9" s="33">
        <f>D9-март!D9</f>
        <v>2007.33</v>
      </c>
    </row>
    <row r="10" spans="1:9" ht="12.75" customHeight="1">
      <c r="A10" s="54" t="s">
        <v>70</v>
      </c>
      <c r="B10" s="33">
        <f>SUM(B11:B16)</f>
        <v>356694.60000000003</v>
      </c>
      <c r="C10" s="33">
        <f>SUM(C11:C16)</f>
        <v>79871</v>
      </c>
      <c r="D10" s="33">
        <f>SUM(D11:D16)</f>
        <v>80284.58000000002</v>
      </c>
      <c r="E10" s="25">
        <f t="shared" si="0"/>
        <v>22.507932556310077</v>
      </c>
      <c r="F10" s="25">
        <v>10444.529999999999</v>
      </c>
      <c r="G10" s="33">
        <f>'[1]Апрель'!D10</f>
        <v>124007.80000000002</v>
      </c>
      <c r="H10" s="25">
        <f t="shared" si="1"/>
        <v>64.40804530037626</v>
      </c>
      <c r="I10" s="33">
        <f>D10-март!D10</f>
        <v>19452.880000000005</v>
      </c>
    </row>
    <row r="11" spans="1:9" ht="51">
      <c r="A11" s="51" t="s">
        <v>74</v>
      </c>
      <c r="B11" s="27">
        <v>336860.2</v>
      </c>
      <c r="C11" s="27">
        <v>74000</v>
      </c>
      <c r="D11" s="27">
        <v>76932.26</v>
      </c>
      <c r="E11" s="27">
        <f t="shared" si="0"/>
        <v>22.838037856653887</v>
      </c>
      <c r="F11" s="27">
        <v>10058</v>
      </c>
      <c r="G11" s="33">
        <f>'[1]Апрель'!D11</f>
        <v>73871.1</v>
      </c>
      <c r="H11" s="25">
        <f t="shared" si="1"/>
        <v>100.17449313737036</v>
      </c>
      <c r="I11" s="33">
        <f>D11-март!D11</f>
        <v>17226.959999999992</v>
      </c>
    </row>
    <row r="12" spans="1:9" ht="51" customHeight="1">
      <c r="A12" s="51" t="s">
        <v>75</v>
      </c>
      <c r="B12" s="27">
        <v>1745</v>
      </c>
      <c r="C12" s="27">
        <v>581</v>
      </c>
      <c r="D12" s="27">
        <v>900.57</v>
      </c>
      <c r="E12" s="27">
        <f t="shared" si="0"/>
        <v>51.60859598853869</v>
      </c>
      <c r="F12" s="27">
        <v>81.56</v>
      </c>
      <c r="G12" s="33">
        <f>'[1]Апрель'!D12</f>
        <v>867.9</v>
      </c>
      <c r="H12" s="25">
        <f t="shared" si="1"/>
        <v>66.94319622076276</v>
      </c>
      <c r="I12" s="33">
        <f>D12-март!D12</f>
        <v>1066.77</v>
      </c>
    </row>
    <row r="13" spans="1:9" ht="25.5">
      <c r="A13" s="51" t="s">
        <v>76</v>
      </c>
      <c r="B13" s="27">
        <v>5600.4</v>
      </c>
      <c r="C13" s="27">
        <v>1630</v>
      </c>
      <c r="D13" s="27">
        <v>41.77</v>
      </c>
      <c r="E13" s="27">
        <f t="shared" si="0"/>
        <v>0.7458395828869367</v>
      </c>
      <c r="F13" s="27">
        <v>117.15</v>
      </c>
      <c r="G13" s="33">
        <f>'[1]Апрель'!D13</f>
        <v>1510.6</v>
      </c>
      <c r="H13" s="25">
        <f t="shared" si="1"/>
        <v>107.90414404872237</v>
      </c>
      <c r="I13" s="33">
        <f>D13-март!D13</f>
        <v>90.47</v>
      </c>
    </row>
    <row r="14" spans="1:9" ht="63.75">
      <c r="A14" s="51" t="s">
        <v>78</v>
      </c>
      <c r="B14" s="27">
        <v>3850</v>
      </c>
      <c r="C14" s="27">
        <v>1160</v>
      </c>
      <c r="D14" s="27">
        <v>1164.13</v>
      </c>
      <c r="E14" s="27">
        <f t="shared" si="0"/>
        <v>30.237142857142864</v>
      </c>
      <c r="F14" s="27">
        <v>187.82</v>
      </c>
      <c r="G14" s="33">
        <f>'[1]Апрель'!D14</f>
        <v>1181.1</v>
      </c>
      <c r="H14" s="25">
        <f t="shared" si="1"/>
        <v>98.21352976039286</v>
      </c>
      <c r="I14" s="33">
        <f>D14-март!D14</f>
        <v>336.83000000000015</v>
      </c>
    </row>
    <row r="15" spans="1:9" ht="37.5" customHeight="1">
      <c r="A15" s="51" t="s">
        <v>145</v>
      </c>
      <c r="B15" s="27">
        <v>8639</v>
      </c>
      <c r="C15" s="27">
        <v>2500</v>
      </c>
      <c r="D15" s="27">
        <v>43.1</v>
      </c>
      <c r="E15" s="27">
        <f t="shared" si="0"/>
        <v>0.4989003356870008</v>
      </c>
      <c r="F15" s="27"/>
      <c r="G15" s="33">
        <f>'[1]Апрель'!D15</f>
        <v>46577.1</v>
      </c>
      <c r="H15" s="25">
        <f t="shared" si="1"/>
        <v>5.367444516726031</v>
      </c>
      <c r="I15" s="33">
        <f>D15-март!D15</f>
        <v>-262.09999999999997</v>
      </c>
    </row>
    <row r="16" spans="1:9" ht="53.25" customHeight="1">
      <c r="A16" s="51" t="s">
        <v>164</v>
      </c>
      <c r="B16" s="27">
        <v>0</v>
      </c>
      <c r="C16" s="27">
        <v>0</v>
      </c>
      <c r="D16" s="27">
        <v>1202.75</v>
      </c>
      <c r="E16" s="27">
        <v>0</v>
      </c>
      <c r="F16" s="27"/>
      <c r="G16" s="33">
        <v>0</v>
      </c>
      <c r="H16" s="25">
        <v>0</v>
      </c>
      <c r="I16" s="33">
        <f>D16-март!D16</f>
        <v>993.95</v>
      </c>
    </row>
    <row r="17" spans="1:9" ht="39.75" customHeight="1">
      <c r="A17" s="53" t="s">
        <v>82</v>
      </c>
      <c r="B17" s="26">
        <f>SUM(B18:B21)</f>
        <v>59089.46000000001</v>
      </c>
      <c r="C17" s="26">
        <f>SUM(C18:C21)</f>
        <v>21275</v>
      </c>
      <c r="D17" s="26">
        <f>SUM(D18:D21)</f>
        <v>21302.38</v>
      </c>
      <c r="E17" s="25">
        <f t="shared" si="0"/>
        <v>36.05106562151693</v>
      </c>
      <c r="F17" s="25">
        <v>1853.18</v>
      </c>
      <c r="G17" s="33">
        <f>'[1]Апрель'!D16</f>
        <v>17999.9</v>
      </c>
      <c r="H17" s="25">
        <f t="shared" si="1"/>
        <v>118.19510108389491</v>
      </c>
      <c r="I17" s="33">
        <f>D17-март!D17</f>
        <v>5415.780000000001</v>
      </c>
    </row>
    <row r="18" spans="1:9" ht="37.5" customHeight="1">
      <c r="A18" s="37" t="s">
        <v>83</v>
      </c>
      <c r="B18" s="27">
        <v>27987.73</v>
      </c>
      <c r="C18" s="27">
        <v>10745</v>
      </c>
      <c r="D18" s="27">
        <v>10949</v>
      </c>
      <c r="E18" s="27">
        <f t="shared" si="0"/>
        <v>39.120714684613574</v>
      </c>
      <c r="F18" s="27">
        <v>844.23</v>
      </c>
      <c r="G18" s="33">
        <f>'[1]Апрель'!D17</f>
        <v>8785.5</v>
      </c>
      <c r="H18" s="25">
        <f t="shared" si="1"/>
        <v>122.3037960275454</v>
      </c>
      <c r="I18" s="33">
        <f>D18-март!D18</f>
        <v>2782</v>
      </c>
    </row>
    <row r="19" spans="1:9" ht="56.25" customHeight="1">
      <c r="A19" s="37" t="s">
        <v>84</v>
      </c>
      <c r="B19" s="27">
        <v>194.4</v>
      </c>
      <c r="C19" s="27">
        <v>60</v>
      </c>
      <c r="D19" s="27">
        <v>50.27</v>
      </c>
      <c r="E19" s="27">
        <f t="shared" si="0"/>
        <v>25.859053497942387</v>
      </c>
      <c r="F19" s="27">
        <v>5.74</v>
      </c>
      <c r="G19" s="33">
        <f>'[1]Апрель'!D18</f>
        <v>60.3</v>
      </c>
      <c r="H19" s="25">
        <f t="shared" si="1"/>
        <v>99.50248756218906</v>
      </c>
      <c r="I19" s="33">
        <f>D19-март!D19</f>
        <v>16.770000000000003</v>
      </c>
    </row>
    <row r="20" spans="1:9" ht="55.5" customHeight="1">
      <c r="A20" s="37" t="s">
        <v>85</v>
      </c>
      <c r="B20" s="27">
        <v>34598.53</v>
      </c>
      <c r="C20" s="27">
        <v>11750</v>
      </c>
      <c r="D20" s="27">
        <v>11659.23</v>
      </c>
      <c r="E20" s="27">
        <f t="shared" si="0"/>
        <v>33.698628236517564</v>
      </c>
      <c r="F20" s="27">
        <v>1158.41</v>
      </c>
      <c r="G20" s="33">
        <f>'[1]Апрель'!D19</f>
        <v>10425.9</v>
      </c>
      <c r="H20" s="25">
        <f t="shared" si="1"/>
        <v>112.70010262902963</v>
      </c>
      <c r="I20" s="33">
        <f>D20-март!D20</f>
        <v>2926.529999999999</v>
      </c>
    </row>
    <row r="21" spans="1:9" ht="15.75" customHeight="1">
      <c r="A21" s="37" t="s">
        <v>86</v>
      </c>
      <c r="B21" s="27">
        <v>-3691.2</v>
      </c>
      <c r="C21" s="27">
        <v>-1280</v>
      </c>
      <c r="D21" s="27">
        <v>-1356.12</v>
      </c>
      <c r="E21" s="27">
        <f t="shared" si="0"/>
        <v>36.73927178153446</v>
      </c>
      <c r="F21" s="27">
        <v>-155.2</v>
      </c>
      <c r="G21" s="33">
        <f>'[1]Апрель'!D20</f>
        <v>-1271.9</v>
      </c>
      <c r="H21" s="25">
        <f t="shared" si="1"/>
        <v>100.63684251906595</v>
      </c>
      <c r="I21" s="33">
        <f>D21-март!D21</f>
        <v>-309.52</v>
      </c>
    </row>
    <row r="22" spans="1:9" ht="12.75">
      <c r="A22" s="54" t="s">
        <v>7</v>
      </c>
      <c r="B22" s="26">
        <f>SUM(B23:B26)</f>
        <v>148961.30000000002</v>
      </c>
      <c r="C22" s="26">
        <f>SUM(C23:C26)</f>
        <v>58000</v>
      </c>
      <c r="D22" s="26">
        <f>SUM(D23:D26)</f>
        <v>67908.26000000001</v>
      </c>
      <c r="E22" s="25">
        <f t="shared" si="0"/>
        <v>45.587854026515615</v>
      </c>
      <c r="F22" s="25">
        <v>7362.96</v>
      </c>
      <c r="G22" s="33">
        <f>'[1]Апрель'!D21</f>
        <v>46749.100000000006</v>
      </c>
      <c r="H22" s="25">
        <f t="shared" si="1"/>
        <v>124.06655957013075</v>
      </c>
      <c r="I22" s="33">
        <f>D22-март!D22</f>
        <v>47580.36000000001</v>
      </c>
    </row>
    <row r="23" spans="1:9" ht="28.5" customHeight="1">
      <c r="A23" s="51" t="s">
        <v>146</v>
      </c>
      <c r="B23" s="27">
        <v>116885.1</v>
      </c>
      <c r="C23" s="27">
        <v>45500</v>
      </c>
      <c r="D23" s="27">
        <v>55550.26</v>
      </c>
      <c r="E23" s="27">
        <f t="shared" si="0"/>
        <v>47.525527205777294</v>
      </c>
      <c r="F23" s="27"/>
      <c r="G23" s="33">
        <f>'[1]Апрель'!D22</f>
        <v>35948.5</v>
      </c>
      <c r="H23" s="25">
        <f t="shared" si="1"/>
        <v>126.56995424009348</v>
      </c>
      <c r="I23" s="33">
        <f>D23-март!D23</f>
        <v>33899.36</v>
      </c>
    </row>
    <row r="24" spans="1:9" ht="19.5" customHeight="1">
      <c r="A24" s="51" t="s">
        <v>89</v>
      </c>
      <c r="B24" s="27">
        <v>0</v>
      </c>
      <c r="C24" s="27">
        <v>0</v>
      </c>
      <c r="D24" s="27">
        <v>-657.63</v>
      </c>
      <c r="E24" s="27" t="s">
        <v>148</v>
      </c>
      <c r="F24" s="27">
        <v>7198.75</v>
      </c>
      <c r="G24" s="33">
        <f>'[1]Апрель'!D23</f>
        <v>57.4</v>
      </c>
      <c r="H24" s="25">
        <f t="shared" si="1"/>
        <v>0</v>
      </c>
      <c r="I24" s="33">
        <f>D24-март!D24</f>
        <v>27.870000000000005</v>
      </c>
    </row>
    <row r="25" spans="1:9" ht="15" customHeight="1">
      <c r="A25" s="51" t="s">
        <v>87</v>
      </c>
      <c r="B25" s="27">
        <v>715</v>
      </c>
      <c r="C25" s="27">
        <v>300</v>
      </c>
      <c r="D25" s="27">
        <v>426.1</v>
      </c>
      <c r="E25" s="27">
        <f t="shared" si="0"/>
        <v>59.5944055944056</v>
      </c>
      <c r="F25" s="27">
        <v>113.58</v>
      </c>
      <c r="G25" s="33">
        <f>'[1]Апрель'!D24</f>
        <v>536.8</v>
      </c>
      <c r="H25" s="25">
        <f t="shared" si="1"/>
        <v>55.88673621460507</v>
      </c>
      <c r="I25" s="33">
        <f>D25-март!D25</f>
        <v>6.2000000000000455</v>
      </c>
    </row>
    <row r="26" spans="1:9" ht="27" customHeight="1">
      <c r="A26" s="51" t="s">
        <v>88</v>
      </c>
      <c r="B26" s="27">
        <v>31361.2</v>
      </c>
      <c r="C26" s="27">
        <v>12200</v>
      </c>
      <c r="D26" s="27">
        <v>12589.53</v>
      </c>
      <c r="E26" s="27">
        <f t="shared" si="0"/>
        <v>40.14364883996786</v>
      </c>
      <c r="F26" s="27">
        <v>50.63</v>
      </c>
      <c r="G26" s="33">
        <f>'[1]Апрель'!D25</f>
        <v>10206.4</v>
      </c>
      <c r="H26" s="25">
        <f t="shared" si="1"/>
        <v>119.53284213826618</v>
      </c>
      <c r="I26" s="33">
        <f>D26-март!D26</f>
        <v>13646.93</v>
      </c>
    </row>
    <row r="27" spans="1:9" ht="12.75">
      <c r="A27" s="54" t="s">
        <v>8</v>
      </c>
      <c r="B27" s="26">
        <f>SUM(B28:B29)</f>
        <v>42454.6</v>
      </c>
      <c r="C27" s="26">
        <f>SUM(C28:C29)</f>
        <v>5500</v>
      </c>
      <c r="D27" s="26">
        <f>SUM(D28:D29)</f>
        <v>5878.15</v>
      </c>
      <c r="E27" s="25">
        <f t="shared" si="0"/>
        <v>13.845731675719474</v>
      </c>
      <c r="F27" s="25">
        <v>2465.82</v>
      </c>
      <c r="G27" s="33">
        <f>'[1]Апрель'!D26</f>
        <v>6167.3</v>
      </c>
      <c r="H27" s="25">
        <f t="shared" si="1"/>
        <v>89.18003015906474</v>
      </c>
      <c r="I27" s="33">
        <f>D27-март!D27</f>
        <v>2056.5499999999997</v>
      </c>
    </row>
    <row r="28" spans="1:9" ht="12.75">
      <c r="A28" s="51" t="s">
        <v>106</v>
      </c>
      <c r="B28" s="27">
        <v>24668.5</v>
      </c>
      <c r="C28" s="27">
        <v>2200</v>
      </c>
      <c r="D28" s="27">
        <v>1708.95</v>
      </c>
      <c r="E28" s="27">
        <f t="shared" si="0"/>
        <v>6.927660781968909</v>
      </c>
      <c r="F28" s="27">
        <v>536.1</v>
      </c>
      <c r="G28" s="33">
        <f>'[1]Апрель'!D27</f>
        <v>2496.5</v>
      </c>
      <c r="H28" s="25">
        <f t="shared" si="1"/>
        <v>88.12337272181054</v>
      </c>
      <c r="I28" s="33">
        <f>D28-март!D28</f>
        <v>225.85000000000014</v>
      </c>
    </row>
    <row r="29" spans="1:9" ht="12.75">
      <c r="A29" s="51" t="s">
        <v>107</v>
      </c>
      <c r="B29" s="27">
        <v>17786.1</v>
      </c>
      <c r="C29" s="27">
        <v>3300</v>
      </c>
      <c r="D29" s="27">
        <v>4169.2</v>
      </c>
      <c r="E29" s="27">
        <f t="shared" si="0"/>
        <v>23.440776786366882</v>
      </c>
      <c r="F29" s="27">
        <v>1929.72</v>
      </c>
      <c r="G29" s="33">
        <f>'[1]Апрель'!D28</f>
        <v>3670.8</v>
      </c>
      <c r="H29" s="25">
        <f t="shared" si="1"/>
        <v>89.89865969271004</v>
      </c>
      <c r="I29" s="33">
        <f>D29-март!D29</f>
        <v>1830.6999999999998</v>
      </c>
    </row>
    <row r="30" spans="1:9" ht="12.75">
      <c r="A30" s="47" t="s">
        <v>9</v>
      </c>
      <c r="B30" s="26">
        <f>SUM(B31:B33)</f>
        <v>15600</v>
      </c>
      <c r="C30" s="26">
        <f>SUM(C31:C33)</f>
        <v>4510</v>
      </c>
      <c r="D30" s="26">
        <f>SUM(D31:D33)</f>
        <v>5838.1</v>
      </c>
      <c r="E30" s="26">
        <f t="shared" si="0"/>
        <v>37.42371794871795</v>
      </c>
      <c r="F30" s="26">
        <v>793.07</v>
      </c>
      <c r="G30" s="33">
        <f>'[1]Апрель'!D29</f>
        <v>5111.099999999999</v>
      </c>
      <c r="H30" s="25">
        <f t="shared" si="1"/>
        <v>88.23932225939622</v>
      </c>
      <c r="I30" s="33">
        <f>D30-март!D30</f>
        <v>1637.6000000000004</v>
      </c>
    </row>
    <row r="31" spans="1:9" ht="25.5">
      <c r="A31" s="51" t="s">
        <v>10</v>
      </c>
      <c r="B31" s="27">
        <v>15550</v>
      </c>
      <c r="C31" s="27">
        <v>4500</v>
      </c>
      <c r="D31" s="27">
        <v>5818.1</v>
      </c>
      <c r="E31" s="27">
        <f t="shared" si="0"/>
        <v>37.41543408360129</v>
      </c>
      <c r="F31" s="27">
        <v>793.07</v>
      </c>
      <c r="G31" s="33">
        <f>'[1]Апрель'!D30</f>
        <v>5061.9</v>
      </c>
      <c r="H31" s="25">
        <f t="shared" si="1"/>
        <v>88.89942511705091</v>
      </c>
      <c r="I31" s="33">
        <f>D31-март!D31</f>
        <v>1637.6000000000004</v>
      </c>
    </row>
    <row r="32" spans="1:9" ht="25.5">
      <c r="A32" s="51" t="s">
        <v>91</v>
      </c>
      <c r="B32" s="27">
        <v>0</v>
      </c>
      <c r="C32" s="27">
        <v>0</v>
      </c>
      <c r="D32" s="27">
        <v>0</v>
      </c>
      <c r="E32" s="27" t="s">
        <v>148</v>
      </c>
      <c r="F32" s="27">
        <v>0</v>
      </c>
      <c r="G32" s="33">
        <f>'[1]Апрель'!D31</f>
        <v>19.2</v>
      </c>
      <c r="H32" s="25">
        <f t="shared" si="1"/>
        <v>0</v>
      </c>
      <c r="I32" s="33">
        <f>D32-март!D32</f>
        <v>0</v>
      </c>
    </row>
    <row r="33" spans="1:9" ht="25.5">
      <c r="A33" s="51" t="s">
        <v>90</v>
      </c>
      <c r="B33" s="27">
        <v>50</v>
      </c>
      <c r="C33" s="27">
        <v>10</v>
      </c>
      <c r="D33" s="27">
        <v>20</v>
      </c>
      <c r="E33" s="27">
        <f t="shared" si="0"/>
        <v>40</v>
      </c>
      <c r="F33" s="27">
        <v>0</v>
      </c>
      <c r="G33" s="33">
        <f>'[1]Апрель'!D32</f>
        <v>30</v>
      </c>
      <c r="H33" s="25">
        <f t="shared" si="1"/>
        <v>33.33333333333333</v>
      </c>
      <c r="I33" s="33">
        <f>D33-март!D33</f>
        <v>0</v>
      </c>
    </row>
    <row r="34" spans="1:9" ht="25.5" hidden="1">
      <c r="A34" s="54" t="s">
        <v>11</v>
      </c>
      <c r="B34" s="27">
        <v>0</v>
      </c>
      <c r="C34" s="27">
        <v>0</v>
      </c>
      <c r="D34" s="27">
        <v>0.02</v>
      </c>
      <c r="E34" s="25" t="e">
        <f t="shared" si="0"/>
        <v>#DIV/0!</v>
      </c>
      <c r="F34" s="25">
        <v>0</v>
      </c>
      <c r="G34" s="33">
        <f>'[1]Апрель'!D33</f>
        <v>0.02</v>
      </c>
      <c r="H34" s="25">
        <f t="shared" si="1"/>
        <v>0</v>
      </c>
      <c r="I34" s="33">
        <f>D34-март!D34</f>
        <v>0</v>
      </c>
    </row>
    <row r="35" spans="1:9" ht="25.5" hidden="1">
      <c r="A35" s="51" t="s">
        <v>116</v>
      </c>
      <c r="B35" s="33">
        <v>0</v>
      </c>
      <c r="C35" s="33">
        <v>0</v>
      </c>
      <c r="D35" s="33">
        <v>0.02</v>
      </c>
      <c r="E35" s="25" t="e">
        <f t="shared" si="0"/>
        <v>#DIV/0!</v>
      </c>
      <c r="F35" s="25">
        <v>0</v>
      </c>
      <c r="G35" s="33">
        <f>'[1]Апрель'!D34</f>
        <v>0.02</v>
      </c>
      <c r="H35" s="25">
        <f t="shared" si="1"/>
        <v>0</v>
      </c>
      <c r="I35" s="33">
        <f>D35-март!D35</f>
        <v>0</v>
      </c>
    </row>
    <row r="36" spans="1:9" ht="25.5" hidden="1">
      <c r="A36" s="51" t="s">
        <v>92</v>
      </c>
      <c r="B36" s="27">
        <v>0</v>
      </c>
      <c r="C36" s="27">
        <v>0</v>
      </c>
      <c r="D36" s="27">
        <v>0</v>
      </c>
      <c r="E36" s="25" t="e">
        <f t="shared" si="0"/>
        <v>#DIV/0!</v>
      </c>
      <c r="F36" s="25">
        <v>0</v>
      </c>
      <c r="G36" s="33">
        <f>'[1]Апрель'!D35</f>
        <v>0</v>
      </c>
      <c r="H36" s="25" t="e">
        <f t="shared" si="1"/>
        <v>#DIV/0!</v>
      </c>
      <c r="I36" s="33">
        <f>D36-март!D36</f>
        <v>0</v>
      </c>
    </row>
    <row r="37" spans="1:9" ht="38.25">
      <c r="A37" s="54" t="s">
        <v>150</v>
      </c>
      <c r="B37" s="27">
        <v>0</v>
      </c>
      <c r="C37" s="27">
        <v>0</v>
      </c>
      <c r="D37" s="27">
        <v>-8.1</v>
      </c>
      <c r="E37" s="25" t="e">
        <f t="shared" si="0"/>
        <v>#DIV/0!</v>
      </c>
      <c r="F37" s="25"/>
      <c r="G37" s="33">
        <v>0</v>
      </c>
      <c r="H37" s="25">
        <v>0</v>
      </c>
      <c r="I37" s="33">
        <f>D37-март!D37</f>
        <v>0</v>
      </c>
    </row>
    <row r="38" spans="1:9" ht="39.75" customHeight="1">
      <c r="A38" s="54" t="s">
        <v>12</v>
      </c>
      <c r="B38" s="26">
        <f>SUM(B40:B46)</f>
        <v>57702.52</v>
      </c>
      <c r="C38" s="26">
        <f>SUM(C40:C46)</f>
        <v>20249.04</v>
      </c>
      <c r="D38" s="26">
        <f>SUM(D40:D46)</f>
        <v>17798.619999999995</v>
      </c>
      <c r="E38" s="26">
        <f t="shared" si="0"/>
        <v>30.84548127187512</v>
      </c>
      <c r="F38" s="26">
        <v>3247.05</v>
      </c>
      <c r="G38" s="33">
        <f>'[1]Апрель'!D36</f>
        <v>16357.699999999997</v>
      </c>
      <c r="H38" s="25">
        <f t="shared" si="1"/>
        <v>123.78904124663006</v>
      </c>
      <c r="I38" s="33">
        <f>D38-март!D38</f>
        <v>5746.119999999995</v>
      </c>
    </row>
    <row r="39" spans="1:9" ht="81.75" customHeight="1" hidden="1">
      <c r="A39" s="51" t="s">
        <v>114</v>
      </c>
      <c r="B39" s="27"/>
      <c r="C39" s="27"/>
      <c r="D39" s="27"/>
      <c r="E39" s="25" t="e">
        <f t="shared" si="0"/>
        <v>#DIV/0!</v>
      </c>
      <c r="F39" s="25"/>
      <c r="G39" s="33">
        <f>'[1]Апрель'!D37</f>
        <v>0</v>
      </c>
      <c r="H39" s="25" t="e">
        <f t="shared" si="1"/>
        <v>#DIV/0!</v>
      </c>
      <c r="I39" s="33">
        <f>D39-март!D39</f>
        <v>0</v>
      </c>
    </row>
    <row r="40" spans="1:9" ht="76.5">
      <c r="A40" s="51" t="s">
        <v>117</v>
      </c>
      <c r="B40" s="27">
        <v>29271.18</v>
      </c>
      <c r="C40" s="27">
        <v>9757.08</v>
      </c>
      <c r="D40" s="27">
        <v>9156.35</v>
      </c>
      <c r="E40" s="27">
        <f t="shared" si="0"/>
        <v>31.281109951836584</v>
      </c>
      <c r="F40" s="27">
        <v>2393.3</v>
      </c>
      <c r="G40" s="33">
        <f>'[1]Апрель'!D38</f>
        <v>9989.9</v>
      </c>
      <c r="H40" s="25">
        <f t="shared" si="1"/>
        <v>97.669446140602</v>
      </c>
      <c r="I40" s="33">
        <f>D40-март!D40</f>
        <v>3742.9500000000007</v>
      </c>
    </row>
    <row r="41" spans="1:9" ht="76.5">
      <c r="A41" s="51" t="s">
        <v>125</v>
      </c>
      <c r="B41" s="27">
        <v>5434.31</v>
      </c>
      <c r="C41" s="27">
        <v>1811.44</v>
      </c>
      <c r="D41" s="27">
        <v>1796.64</v>
      </c>
      <c r="E41" s="27">
        <f t="shared" si="0"/>
        <v>33.061050988994</v>
      </c>
      <c r="F41" s="27">
        <v>75.44</v>
      </c>
      <c r="G41" s="33">
        <f>'[1]Апрель'!D39</f>
        <v>926.9</v>
      </c>
      <c r="H41" s="25">
        <f t="shared" si="1"/>
        <v>195.42992771604273</v>
      </c>
      <c r="I41" s="33">
        <f>D41-март!D41</f>
        <v>471.84000000000015</v>
      </c>
    </row>
    <row r="42" spans="1:9" ht="76.5">
      <c r="A42" s="51" t="s">
        <v>118</v>
      </c>
      <c r="B42" s="27">
        <v>515.73</v>
      </c>
      <c r="C42" s="27">
        <v>166.12</v>
      </c>
      <c r="D42" s="27">
        <v>249.64</v>
      </c>
      <c r="E42" s="27">
        <f t="shared" si="0"/>
        <v>48.40517324956857</v>
      </c>
      <c r="F42" s="27">
        <v>3.43</v>
      </c>
      <c r="G42" s="33">
        <f>'[1]Апрель'!D40</f>
        <v>70.9</v>
      </c>
      <c r="H42" s="25">
        <f t="shared" si="1"/>
        <v>234.3018335684062</v>
      </c>
      <c r="I42" s="33">
        <f>D42-март!D42</f>
        <v>41.73999999999998</v>
      </c>
    </row>
    <row r="43" spans="1:9" ht="38.25">
      <c r="A43" s="51" t="s">
        <v>119</v>
      </c>
      <c r="B43" s="27">
        <v>17384.33</v>
      </c>
      <c r="C43" s="27">
        <v>5794.76</v>
      </c>
      <c r="D43" s="27">
        <v>4733.04</v>
      </c>
      <c r="E43" s="27">
        <f t="shared" si="0"/>
        <v>27.22589826585206</v>
      </c>
      <c r="F43" s="27">
        <v>538.73</v>
      </c>
      <c r="G43" s="33">
        <f>'[1]Апрель'!D41</f>
        <v>4400.2</v>
      </c>
      <c r="H43" s="25">
        <f t="shared" si="1"/>
        <v>131.69310485887007</v>
      </c>
      <c r="I43" s="33">
        <f>D43-март!D43</f>
        <v>1282.94</v>
      </c>
    </row>
    <row r="44" spans="1:9" ht="44.25" customHeight="1">
      <c r="A44" s="51" t="s">
        <v>147</v>
      </c>
      <c r="B44" s="27">
        <v>62.2</v>
      </c>
      <c r="C44" s="27">
        <v>20.72</v>
      </c>
      <c r="D44" s="27">
        <v>8.59</v>
      </c>
      <c r="E44" s="27">
        <f t="shared" si="0"/>
        <v>13.810289389067524</v>
      </c>
      <c r="F44" s="27"/>
      <c r="G44" s="33">
        <f>'[1]Апрель'!D42</f>
        <v>0</v>
      </c>
      <c r="H44" s="25" t="s">
        <v>148</v>
      </c>
      <c r="I44" s="33">
        <f>D44-март!D44</f>
        <v>0.4900000000000002</v>
      </c>
    </row>
    <row r="45" spans="1:9" ht="51">
      <c r="A45" s="51" t="s">
        <v>120</v>
      </c>
      <c r="B45" s="27">
        <v>1531</v>
      </c>
      <c r="C45" s="27">
        <v>1531</v>
      </c>
      <c r="D45" s="27">
        <v>997.19</v>
      </c>
      <c r="E45" s="27">
        <f t="shared" si="0"/>
        <v>65.13324624428478</v>
      </c>
      <c r="F45" s="27">
        <v>0</v>
      </c>
      <c r="G45" s="33">
        <f>'[1]Апрель'!D43</f>
        <v>105.5</v>
      </c>
      <c r="H45" s="25" t="s">
        <v>148</v>
      </c>
      <c r="I45" s="33">
        <f>D45-март!D45</f>
        <v>-0.009999999999990905</v>
      </c>
    </row>
    <row r="46" spans="1:9" ht="76.5">
      <c r="A46" s="51" t="s">
        <v>121</v>
      </c>
      <c r="B46" s="27">
        <v>3503.77</v>
      </c>
      <c r="C46" s="27">
        <v>1167.92</v>
      </c>
      <c r="D46" s="27">
        <v>857.17</v>
      </c>
      <c r="E46" s="27">
        <f t="shared" si="0"/>
        <v>24.464219968776487</v>
      </c>
      <c r="F46" s="27">
        <v>236.15</v>
      </c>
      <c r="G46" s="33">
        <f>'[1]Апрель'!D44</f>
        <v>864.3</v>
      </c>
      <c r="H46" s="25">
        <f t="shared" si="1"/>
        <v>135.12900613213006</v>
      </c>
      <c r="I46" s="33">
        <f>D46-март!D46</f>
        <v>206.16999999999996</v>
      </c>
    </row>
    <row r="47" spans="1:9" ht="27" customHeight="1">
      <c r="A47" s="54" t="s">
        <v>13</v>
      </c>
      <c r="B47" s="33">
        <v>598.72</v>
      </c>
      <c r="C47" s="33">
        <v>218</v>
      </c>
      <c r="D47" s="33">
        <v>486.34</v>
      </c>
      <c r="E47" s="33">
        <f t="shared" si="0"/>
        <v>81.22995724211651</v>
      </c>
      <c r="F47" s="33">
        <v>43.6</v>
      </c>
      <c r="G47" s="33">
        <f>'[1]Апрель'!D45</f>
        <v>382.5</v>
      </c>
      <c r="H47" s="33">
        <f t="shared" si="1"/>
        <v>56.99346405228758</v>
      </c>
      <c r="I47" s="33">
        <f>D47-март!D47</f>
        <v>123.44</v>
      </c>
    </row>
    <row r="48" spans="1:9" ht="25.5">
      <c r="A48" s="54" t="s">
        <v>96</v>
      </c>
      <c r="B48" s="33">
        <v>1290.36</v>
      </c>
      <c r="C48" s="33">
        <v>257.31</v>
      </c>
      <c r="D48" s="33">
        <v>464</v>
      </c>
      <c r="E48" s="33">
        <f t="shared" si="0"/>
        <v>35.958957190241485</v>
      </c>
      <c r="F48" s="33">
        <v>561.58</v>
      </c>
      <c r="G48" s="33">
        <f>'[1]Апрель'!D46</f>
        <v>432.6</v>
      </c>
      <c r="H48" s="33">
        <f t="shared" si="1"/>
        <v>59.479889042995836</v>
      </c>
      <c r="I48" s="33">
        <f>D48-март!D48</f>
        <v>190.8</v>
      </c>
    </row>
    <row r="49" spans="1:9" ht="25.5">
      <c r="A49" s="54" t="s">
        <v>14</v>
      </c>
      <c r="B49" s="33">
        <f>SUM(B50:B52)</f>
        <v>33900</v>
      </c>
      <c r="C49" s="33">
        <f>SUM(C50:C52)</f>
        <v>0</v>
      </c>
      <c r="D49" s="33">
        <f>SUM(D50:D52)</f>
        <v>1218.74</v>
      </c>
      <c r="E49" s="25">
        <f t="shared" si="0"/>
        <v>3.595103244837758</v>
      </c>
      <c r="F49" s="25">
        <v>585.5</v>
      </c>
      <c r="G49" s="33">
        <f>'[1]Апрель'!D47</f>
        <v>696.6</v>
      </c>
      <c r="H49" s="25">
        <f t="shared" si="1"/>
        <v>0</v>
      </c>
      <c r="I49" s="33">
        <f>D49-март!D49</f>
        <v>79.53999999999996</v>
      </c>
    </row>
    <row r="50" spans="1:9" ht="12.75">
      <c r="A50" s="51" t="s">
        <v>94</v>
      </c>
      <c r="B50" s="27">
        <v>0</v>
      </c>
      <c r="C50" s="27">
        <v>0</v>
      </c>
      <c r="D50" s="27">
        <v>0</v>
      </c>
      <c r="E50" s="25">
        <v>0</v>
      </c>
      <c r="F50" s="25">
        <v>0</v>
      </c>
      <c r="G50" s="33">
        <f>'[1]Апрель'!D48</f>
        <v>0</v>
      </c>
      <c r="H50" s="25" t="s">
        <v>148</v>
      </c>
      <c r="I50" s="33">
        <f>D50-март!D50</f>
        <v>0</v>
      </c>
    </row>
    <row r="51" spans="1:9" ht="76.5">
      <c r="A51" s="51" t="s">
        <v>95</v>
      </c>
      <c r="B51" s="27">
        <v>32500</v>
      </c>
      <c r="C51" s="27">
        <v>0</v>
      </c>
      <c r="D51" s="27">
        <v>0</v>
      </c>
      <c r="E51" s="25">
        <f t="shared" si="0"/>
        <v>0</v>
      </c>
      <c r="F51" s="25">
        <v>37.14</v>
      </c>
      <c r="G51" s="33">
        <f>'[1]Апрель'!D49</f>
        <v>0</v>
      </c>
      <c r="H51" s="25" t="s">
        <v>148</v>
      </c>
      <c r="I51" s="33">
        <f>D51-март!D51</f>
        <v>0</v>
      </c>
    </row>
    <row r="52" spans="1:9" ht="17.25" customHeight="1">
      <c r="A52" s="51" t="s">
        <v>93</v>
      </c>
      <c r="B52" s="27">
        <v>1400</v>
      </c>
      <c r="C52" s="27">
        <v>0</v>
      </c>
      <c r="D52" s="27">
        <v>1218.74</v>
      </c>
      <c r="E52" s="27">
        <f t="shared" si="0"/>
        <v>87.05285714285715</v>
      </c>
      <c r="F52" s="27">
        <v>548.36</v>
      </c>
      <c r="G52" s="33">
        <f>'[1]Апрель'!D50</f>
        <v>696.6</v>
      </c>
      <c r="H52" s="25">
        <f t="shared" si="1"/>
        <v>0</v>
      </c>
      <c r="I52" s="33">
        <f>D52-март!D52</f>
        <v>79.53999999999996</v>
      </c>
    </row>
    <row r="53" spans="1:9" ht="12.75">
      <c r="A53" s="54" t="s">
        <v>15</v>
      </c>
      <c r="B53" s="33">
        <v>-1455.1</v>
      </c>
      <c r="C53" s="33">
        <v>-4026.96</v>
      </c>
      <c r="D53" s="33">
        <v>-3276.93</v>
      </c>
      <c r="E53" s="26">
        <f t="shared" si="0"/>
        <v>225.20307882619753</v>
      </c>
      <c r="F53" s="26">
        <v>179.73</v>
      </c>
      <c r="G53" s="33">
        <f>'[1]Апрель'!D51</f>
        <v>1113.9</v>
      </c>
      <c r="H53" s="25">
        <f t="shared" si="1"/>
        <v>-361.5189873417721</v>
      </c>
      <c r="I53" s="33">
        <f>D53-март!D53</f>
        <v>-4238.53</v>
      </c>
    </row>
    <row r="54" spans="1:9" ht="63.75" hidden="1">
      <c r="A54" s="51" t="s">
        <v>126</v>
      </c>
      <c r="B54" s="33">
        <v>223.07</v>
      </c>
      <c r="C54" s="33">
        <v>20</v>
      </c>
      <c r="D54" s="33"/>
      <c r="E54" s="26">
        <f t="shared" si="0"/>
        <v>0</v>
      </c>
      <c r="F54" s="26"/>
      <c r="G54" s="33">
        <f>'[1]Апрель'!D52</f>
        <v>0</v>
      </c>
      <c r="H54" s="25" t="e">
        <f t="shared" si="1"/>
        <v>#DIV/0!</v>
      </c>
      <c r="I54" s="33">
        <f>D54-март!D54</f>
        <v>0</v>
      </c>
    </row>
    <row r="55" spans="1:9" ht="89.25" hidden="1">
      <c r="A55" s="51" t="s">
        <v>127</v>
      </c>
      <c r="B55" s="33">
        <v>223.07</v>
      </c>
      <c r="C55" s="33">
        <v>20</v>
      </c>
      <c r="D55" s="33"/>
      <c r="E55" s="26">
        <f t="shared" si="0"/>
        <v>0</v>
      </c>
      <c r="F55" s="26"/>
      <c r="G55" s="33">
        <f>'[1]Апрель'!D53</f>
        <v>0</v>
      </c>
      <c r="H55" s="25" t="e">
        <f t="shared" si="1"/>
        <v>#DIV/0!</v>
      </c>
      <c r="I55" s="33">
        <f>D55-март!D55</f>
        <v>0</v>
      </c>
    </row>
    <row r="56" spans="1:9" ht="63.75" hidden="1">
      <c r="A56" s="51" t="s">
        <v>128</v>
      </c>
      <c r="B56" s="33">
        <v>223.07</v>
      </c>
      <c r="C56" s="33">
        <v>20</v>
      </c>
      <c r="D56" s="33"/>
      <c r="E56" s="26">
        <f t="shared" si="0"/>
        <v>0</v>
      </c>
      <c r="F56" s="26"/>
      <c r="G56" s="33">
        <f>'[1]Апрель'!D54</f>
        <v>0</v>
      </c>
      <c r="H56" s="25" t="e">
        <f t="shared" si="1"/>
        <v>#DIV/0!</v>
      </c>
      <c r="I56" s="33">
        <f>D56-март!D56</f>
        <v>0</v>
      </c>
    </row>
    <row r="57" spans="1:9" ht="29.25" customHeight="1" hidden="1">
      <c r="A57" s="51" t="s">
        <v>129</v>
      </c>
      <c r="B57" s="33">
        <v>223.07</v>
      </c>
      <c r="C57" s="33">
        <v>20</v>
      </c>
      <c r="D57" s="33"/>
      <c r="E57" s="26">
        <f t="shared" si="0"/>
        <v>0</v>
      </c>
      <c r="F57" s="26"/>
      <c r="G57" s="33">
        <f>'[1]Апрель'!D55</f>
        <v>0</v>
      </c>
      <c r="H57" s="25" t="e">
        <f t="shared" si="1"/>
        <v>#DIV/0!</v>
      </c>
      <c r="I57" s="33">
        <f>D57-март!D57</f>
        <v>0</v>
      </c>
    </row>
    <row r="58" spans="1:9" ht="38.25" customHeight="1" hidden="1">
      <c r="A58" s="51" t="s">
        <v>130</v>
      </c>
      <c r="B58" s="33">
        <v>223.07</v>
      </c>
      <c r="C58" s="33">
        <v>20</v>
      </c>
      <c r="D58" s="33"/>
      <c r="E58" s="26">
        <f t="shared" si="0"/>
        <v>0</v>
      </c>
      <c r="F58" s="26"/>
      <c r="G58" s="33">
        <f>'[1]Апрель'!D56</f>
        <v>0</v>
      </c>
      <c r="H58" s="25" t="e">
        <f t="shared" si="1"/>
        <v>#DIV/0!</v>
      </c>
      <c r="I58" s="33">
        <f>D58-март!D58</f>
        <v>0</v>
      </c>
    </row>
    <row r="59" spans="1:9" ht="43.5" customHeight="1" hidden="1">
      <c r="A59" s="51" t="s">
        <v>131</v>
      </c>
      <c r="B59" s="33">
        <v>223.07</v>
      </c>
      <c r="C59" s="33">
        <v>20</v>
      </c>
      <c r="D59" s="33"/>
      <c r="E59" s="26">
        <f t="shared" si="0"/>
        <v>0</v>
      </c>
      <c r="F59" s="26"/>
      <c r="G59" s="33">
        <f>'[1]Апрель'!D57</f>
        <v>0</v>
      </c>
      <c r="H59" s="25" t="e">
        <f t="shared" si="1"/>
        <v>#DIV/0!</v>
      </c>
      <c r="I59" s="33">
        <f>D59-март!D59</f>
        <v>0</v>
      </c>
    </row>
    <row r="60" spans="1:9" ht="40.5" customHeight="1" hidden="1">
      <c r="A60" s="51" t="s">
        <v>132</v>
      </c>
      <c r="B60" s="33">
        <v>223.07</v>
      </c>
      <c r="C60" s="33">
        <v>20</v>
      </c>
      <c r="D60" s="33"/>
      <c r="E60" s="26">
        <f t="shared" si="0"/>
        <v>0</v>
      </c>
      <c r="F60" s="26"/>
      <c r="G60" s="33">
        <f>'[1]Апрель'!D58</f>
        <v>0</v>
      </c>
      <c r="H60" s="25" t="e">
        <f t="shared" si="1"/>
        <v>#DIV/0!</v>
      </c>
      <c r="I60" s="33">
        <f>D60-март!D60</f>
        <v>0</v>
      </c>
    </row>
    <row r="61" spans="1:9" ht="51" hidden="1">
      <c r="A61" s="51" t="s">
        <v>133</v>
      </c>
      <c r="B61" s="33">
        <v>223.07</v>
      </c>
      <c r="C61" s="33">
        <v>20</v>
      </c>
      <c r="D61" s="33"/>
      <c r="E61" s="26">
        <f t="shared" si="0"/>
        <v>0</v>
      </c>
      <c r="F61" s="26"/>
      <c r="G61" s="33">
        <f>'[1]Апрель'!D59</f>
        <v>0</v>
      </c>
      <c r="H61" s="25" t="e">
        <f t="shared" si="1"/>
        <v>#DIV/0!</v>
      </c>
      <c r="I61" s="33">
        <f>D61-март!D61</f>
        <v>0</v>
      </c>
    </row>
    <row r="62" spans="1:9" ht="76.5" hidden="1">
      <c r="A62" s="51" t="s">
        <v>134</v>
      </c>
      <c r="B62" s="33">
        <v>223.07</v>
      </c>
      <c r="C62" s="33">
        <v>20</v>
      </c>
      <c r="D62" s="33"/>
      <c r="E62" s="26">
        <f t="shared" si="0"/>
        <v>0</v>
      </c>
      <c r="F62" s="26"/>
      <c r="G62" s="33">
        <f>'[1]Апрель'!D60</f>
        <v>0</v>
      </c>
      <c r="H62" s="25" t="e">
        <f t="shared" si="1"/>
        <v>#DIV/0!</v>
      </c>
      <c r="I62" s="33">
        <f>D62-март!D62</f>
        <v>0</v>
      </c>
    </row>
    <row r="63" spans="1:9" ht="12.75" hidden="1">
      <c r="A63" s="51" t="s">
        <v>135</v>
      </c>
      <c r="B63" s="33">
        <v>223.07</v>
      </c>
      <c r="C63" s="33">
        <v>20</v>
      </c>
      <c r="D63" s="33"/>
      <c r="E63" s="26">
        <f t="shared" si="0"/>
        <v>0</v>
      </c>
      <c r="F63" s="26"/>
      <c r="G63" s="33">
        <f>'[1]Апрель'!D61</f>
        <v>0</v>
      </c>
      <c r="H63" s="25" t="e">
        <f t="shared" si="1"/>
        <v>#DIV/0!</v>
      </c>
      <c r="I63" s="33">
        <f>D63-март!D63</f>
        <v>0</v>
      </c>
    </row>
    <row r="64" spans="1:9" ht="12.75">
      <c r="A64" s="47" t="s">
        <v>16</v>
      </c>
      <c r="B64" s="33">
        <v>-1089.27</v>
      </c>
      <c r="C64" s="33">
        <v>-1096.63</v>
      </c>
      <c r="D64" s="33">
        <v>-964.29</v>
      </c>
      <c r="E64" s="26">
        <f t="shared" si="0"/>
        <v>88.52626070671184</v>
      </c>
      <c r="F64" s="26">
        <v>-38.79</v>
      </c>
      <c r="G64" s="33">
        <f>'[1]Апрель'!D62</f>
        <v>0</v>
      </c>
      <c r="H64" s="25" t="s">
        <v>148</v>
      </c>
      <c r="I64" s="33">
        <f>D64-март!D64</f>
        <v>131.61000000000013</v>
      </c>
    </row>
    <row r="65" spans="1:9" ht="12.75">
      <c r="A65" s="54" t="s">
        <v>17</v>
      </c>
      <c r="B65" s="26">
        <f>B64+B53+B49+B48+B47+B38+B30+B27+B22+B17+B8</f>
        <v>722378.1900000001</v>
      </c>
      <c r="C65" s="26">
        <f>C64+C53+C49+C48+C47+C38+C30+C27+C22+C17+C8</f>
        <v>190506.76</v>
      </c>
      <c r="D65" s="26">
        <f>D64+D53+D49+D48+D47+D38+D30+D27+D22+D17+D8+D37</f>
        <v>203257.98</v>
      </c>
      <c r="E65" s="26">
        <f t="shared" si="0"/>
        <v>28.13733620612217</v>
      </c>
      <c r="F65" s="26">
        <v>27699.089999999997</v>
      </c>
      <c r="G65" s="33">
        <f>'[1]Апрель'!D63</f>
        <v>221241.60000000003</v>
      </c>
      <c r="H65" s="25">
        <f t="shared" si="1"/>
        <v>86.10801946830975</v>
      </c>
      <c r="I65" s="33">
        <f>D65-март!D65</f>
        <v>80183.48000000001</v>
      </c>
    </row>
    <row r="66" spans="1:9" ht="12.75">
      <c r="A66" s="54" t="s">
        <v>18</v>
      </c>
      <c r="B66" s="26">
        <f>B67+B72+B73</f>
        <v>3340777.6100000003</v>
      </c>
      <c r="C66" s="26">
        <f>C67+C72+C73</f>
        <v>1068990.36</v>
      </c>
      <c r="D66" s="26">
        <f>D67+D72+D73</f>
        <v>833414</v>
      </c>
      <c r="E66" s="26">
        <f t="shared" si="0"/>
        <v>24.94670694347715</v>
      </c>
      <c r="F66" s="26">
        <v>43822.57000000001</v>
      </c>
      <c r="G66" s="33">
        <f>'[1]Апрель'!D64</f>
        <v>528832.2999999999</v>
      </c>
      <c r="H66" s="25">
        <f t="shared" si="1"/>
        <v>202.14165435810182</v>
      </c>
      <c r="I66" s="33">
        <f>D66-март!D66</f>
        <v>178781.79999999993</v>
      </c>
    </row>
    <row r="67" spans="1:9" ht="25.5">
      <c r="A67" s="54" t="s">
        <v>19</v>
      </c>
      <c r="B67" s="26">
        <f>SUM(B68:B71)</f>
        <v>3349157.8600000003</v>
      </c>
      <c r="C67" s="26">
        <f>SUM(C68:C71)</f>
        <v>1077370.6</v>
      </c>
      <c r="D67" s="26">
        <f>SUM(D68:D71)</f>
        <v>841794.25</v>
      </c>
      <c r="E67" s="26">
        <f t="shared" si="0"/>
        <v>25.134505006580966</v>
      </c>
      <c r="F67" s="26">
        <v>46091.770000000004</v>
      </c>
      <c r="G67" s="33">
        <f>'[1]Апрель'!D65</f>
        <v>547205.2</v>
      </c>
      <c r="H67" s="25">
        <f t="shared" si="1"/>
        <v>196.8860310537985</v>
      </c>
      <c r="I67" s="33">
        <f>D67-март!D67</f>
        <v>178781.84999999998</v>
      </c>
    </row>
    <row r="68" spans="1:9" ht="12.75">
      <c r="A68" s="51" t="s">
        <v>108</v>
      </c>
      <c r="B68" s="27">
        <v>565077</v>
      </c>
      <c r="C68" s="27">
        <v>240665</v>
      </c>
      <c r="D68" s="27">
        <v>252591.7</v>
      </c>
      <c r="E68" s="25">
        <f t="shared" si="0"/>
        <v>44.70040366180184</v>
      </c>
      <c r="F68" s="25">
        <v>15902.8</v>
      </c>
      <c r="G68" s="33">
        <f>'[1]Апрель'!D66</f>
        <v>136055.8</v>
      </c>
      <c r="H68" s="25">
        <f t="shared" si="1"/>
        <v>176.88698313486086</v>
      </c>
      <c r="I68" s="33">
        <f>D68-март!D68</f>
        <v>35392.70000000001</v>
      </c>
    </row>
    <row r="69" spans="1:9" ht="12.75" customHeight="1">
      <c r="A69" s="51" t="s">
        <v>109</v>
      </c>
      <c r="B69" s="27">
        <v>1457017.22</v>
      </c>
      <c r="C69" s="27">
        <v>453584.12</v>
      </c>
      <c r="D69" s="27">
        <v>213476.61</v>
      </c>
      <c r="E69" s="25">
        <f t="shared" si="0"/>
        <v>14.651618873797522</v>
      </c>
      <c r="F69" s="25">
        <v>0</v>
      </c>
      <c r="G69" s="33">
        <f>'[1]Апрель'!D67</f>
        <v>101936.4</v>
      </c>
      <c r="H69" s="25">
        <f t="shared" si="1"/>
        <v>444.96776421376467</v>
      </c>
      <c r="I69" s="33">
        <f>D69-март!D69</f>
        <v>15116.909999999974</v>
      </c>
    </row>
    <row r="70" spans="1:9" ht="18.75" customHeight="1">
      <c r="A70" s="51" t="s">
        <v>110</v>
      </c>
      <c r="B70" s="27">
        <v>1270180.1</v>
      </c>
      <c r="C70" s="27">
        <v>368193.47000000003</v>
      </c>
      <c r="D70" s="27">
        <v>362127.09</v>
      </c>
      <c r="E70" s="25">
        <f t="shared" si="0"/>
        <v>28.509901076233206</v>
      </c>
      <c r="F70" s="25">
        <v>30188.97</v>
      </c>
      <c r="G70" s="33">
        <f>'[1]Апрель'!D68</f>
        <v>297190</v>
      </c>
      <c r="H70" s="25">
        <f t="shared" si="1"/>
        <v>123.89160806218244</v>
      </c>
      <c r="I70" s="33">
        <f>D70-март!D70</f>
        <v>124372.29000000004</v>
      </c>
    </row>
    <row r="71" spans="1:9" ht="12.75" customHeight="1">
      <c r="A71" s="2" t="s">
        <v>122</v>
      </c>
      <c r="B71" s="27">
        <v>56883.54</v>
      </c>
      <c r="C71" s="27">
        <v>14928.01</v>
      </c>
      <c r="D71" s="27">
        <v>13598.85</v>
      </c>
      <c r="E71" s="25">
        <f t="shared" si="0"/>
        <v>23.9064762847038</v>
      </c>
      <c r="F71" s="25">
        <v>0</v>
      </c>
      <c r="G71" s="33">
        <f>'[1]Апрель'!D69</f>
        <v>12023</v>
      </c>
      <c r="H71" s="25" t="s">
        <v>148</v>
      </c>
      <c r="I71" s="33">
        <f>D71-март!D71</f>
        <v>3899.9500000000007</v>
      </c>
    </row>
    <row r="72" spans="1:9" ht="12.75" customHeight="1">
      <c r="A72" s="54" t="s">
        <v>113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33">
        <f>'[1]Апрель'!D70</f>
        <v>0</v>
      </c>
      <c r="H72" s="25" t="s">
        <v>148</v>
      </c>
      <c r="I72" s="33">
        <f>D72-март!D72</f>
        <v>0</v>
      </c>
    </row>
    <row r="73" spans="1:9" ht="25.5">
      <c r="A73" s="54" t="s">
        <v>21</v>
      </c>
      <c r="B73" s="27">
        <v>-8380.25</v>
      </c>
      <c r="C73" s="27">
        <v>-8380.239999999998</v>
      </c>
      <c r="D73" s="27">
        <v>-8380.25</v>
      </c>
      <c r="E73" s="26">
        <f t="shared" si="0"/>
        <v>100</v>
      </c>
      <c r="F73" s="26">
        <v>-2269.2</v>
      </c>
      <c r="G73" s="33">
        <f>'[1]Апрель'!D71</f>
        <v>-18372.9</v>
      </c>
      <c r="H73" s="25">
        <f t="shared" si="1"/>
        <v>45.611961094873415</v>
      </c>
      <c r="I73" s="33">
        <f>D73-март!D73</f>
        <v>-0.049999999999272404</v>
      </c>
    </row>
    <row r="74" spans="1:9" ht="12.75">
      <c r="A74" s="47" t="s">
        <v>20</v>
      </c>
      <c r="B74" s="26">
        <f>B65+B66</f>
        <v>4063155.8000000003</v>
      </c>
      <c r="C74" s="26">
        <f>C65+C66</f>
        <v>1259497.12</v>
      </c>
      <c r="D74" s="26">
        <f>D65+D66</f>
        <v>1036671.98</v>
      </c>
      <c r="E74" s="25">
        <f>D74/B74*100</f>
        <v>25.513960847871004</v>
      </c>
      <c r="F74" s="25">
        <v>71521.66</v>
      </c>
      <c r="G74" s="33">
        <f>'[1]Апрель'!D72</f>
        <v>750073.8999999999</v>
      </c>
      <c r="H74" s="25">
        <f>C74/G74*100</f>
        <v>167.91640397032884</v>
      </c>
      <c r="I74" s="33">
        <f>D74-март!D74</f>
        <v>258965.2799999999</v>
      </c>
    </row>
    <row r="75" spans="1:9" ht="12.75" hidden="1">
      <c r="A75" s="54"/>
      <c r="B75" s="61"/>
      <c r="C75" s="61"/>
      <c r="D75" s="61"/>
      <c r="E75" s="45"/>
      <c r="F75" s="45"/>
      <c r="G75" s="61"/>
      <c r="H75" s="45"/>
      <c r="I75" s="61"/>
    </row>
    <row r="76" spans="1:9" ht="12.75" hidden="1">
      <c r="A76" s="54"/>
      <c r="B76" s="56"/>
      <c r="C76" s="56"/>
      <c r="D76" s="56"/>
      <c r="E76" s="45"/>
      <c r="F76" s="45"/>
      <c r="G76" s="56"/>
      <c r="H76" s="45"/>
      <c r="I76" s="56"/>
    </row>
    <row r="77" spans="1:9" ht="12.75" hidden="1">
      <c r="A77" s="47"/>
      <c r="B77" s="57"/>
      <c r="C77" s="57"/>
      <c r="D77" s="57"/>
      <c r="E77" s="45"/>
      <c r="F77" s="45"/>
      <c r="G77" s="57"/>
      <c r="H77" s="45"/>
      <c r="I77" s="57"/>
    </row>
    <row r="78" spans="1:9" ht="12.75" hidden="1">
      <c r="A78" s="89"/>
      <c r="B78" s="33"/>
      <c r="C78" s="33"/>
      <c r="D78" s="33"/>
      <c r="E78" s="25"/>
      <c r="F78" s="25"/>
      <c r="G78" s="33"/>
      <c r="H78" s="25"/>
      <c r="I78" s="33"/>
    </row>
    <row r="79" spans="1:9" ht="12.75">
      <c r="A79" s="121" t="s">
        <v>22</v>
      </c>
      <c r="B79" s="121"/>
      <c r="C79" s="121"/>
      <c r="D79" s="121"/>
      <c r="E79" s="121"/>
      <c r="F79" s="121"/>
      <c r="G79" s="121"/>
      <c r="H79" s="121"/>
      <c r="I79" s="121"/>
    </row>
    <row r="80" spans="1:9" ht="12.75">
      <c r="A80" s="7" t="s">
        <v>23</v>
      </c>
      <c r="B80" s="33">
        <f>B81+B82+B83+B84+B85+B86+B87+B88</f>
        <v>442143.43999999994</v>
      </c>
      <c r="C80" s="33">
        <f>C81+C82+C83+C84+C85+C86+C87+C88</f>
        <v>94874.11</v>
      </c>
      <c r="D80" s="33">
        <f>D81+D82+D83+D84+D85+D86+D87+D88</f>
        <v>94247.26</v>
      </c>
      <c r="E80" s="25">
        <f>$D:$D/$B:$B*100</f>
        <v>21.3159919323919</v>
      </c>
      <c r="F80" s="25">
        <f>$D:$D/$C:$C*100</f>
        <v>99.33928233951285</v>
      </c>
      <c r="G80" s="33">
        <f>'[1]Апрель'!D78</f>
        <v>41910.9</v>
      </c>
      <c r="H80" s="25">
        <f>$D:$D/$G:$G*100</f>
        <v>224.87529497099797</v>
      </c>
      <c r="I80" s="33">
        <f>D80-март!I80</f>
        <v>73289.51000000001</v>
      </c>
    </row>
    <row r="81" spans="1:9" ht="14.25" customHeight="1">
      <c r="A81" s="8" t="s">
        <v>24</v>
      </c>
      <c r="B81" s="27">
        <v>3112.77</v>
      </c>
      <c r="C81" s="27">
        <v>1176.35</v>
      </c>
      <c r="D81" s="27">
        <v>1162.87</v>
      </c>
      <c r="E81" s="28">
        <f>$D:$D/$B:$B*100</f>
        <v>37.35804444273107</v>
      </c>
      <c r="F81" s="28">
        <v>0</v>
      </c>
      <c r="G81" s="33">
        <f>'[1]Апрель'!D79</f>
        <v>684</v>
      </c>
      <c r="H81" s="28">
        <v>0</v>
      </c>
      <c r="I81" s="33">
        <f>D81-март!I81</f>
        <v>581.29</v>
      </c>
    </row>
    <row r="82" spans="1:9" ht="12.75">
      <c r="A82" s="8" t="s">
        <v>25</v>
      </c>
      <c r="B82" s="27">
        <v>7499.62</v>
      </c>
      <c r="C82" s="27">
        <v>2482.62</v>
      </c>
      <c r="D82" s="27">
        <v>2334.91</v>
      </c>
      <c r="E82" s="28">
        <f>$D:$D/$B:$B*100</f>
        <v>31.133710774679248</v>
      </c>
      <c r="F82" s="28">
        <f>$D:$D/$C:$C*100</f>
        <v>94.05023724935752</v>
      </c>
      <c r="G82" s="33">
        <f>'[1]Апрель'!D80</f>
        <v>2007.4</v>
      </c>
      <c r="H82" s="28">
        <f>$D:$D/$G:$G*100</f>
        <v>116.3151340041845</v>
      </c>
      <c r="I82" s="33">
        <f>D82-март!I82</f>
        <v>1398.6799999999998</v>
      </c>
    </row>
    <row r="83" spans="1:9" ht="25.5">
      <c r="A83" s="8" t="s">
        <v>26</v>
      </c>
      <c r="B83" s="27">
        <v>68916.62</v>
      </c>
      <c r="C83" s="27">
        <v>22626.89</v>
      </c>
      <c r="D83" s="27">
        <v>22466.42</v>
      </c>
      <c r="E83" s="28">
        <f>$D:$D/$B:$B*100</f>
        <v>32.59942231641656</v>
      </c>
      <c r="F83" s="28">
        <f>$D:$D/$C:$C*100</f>
        <v>99.29079957519569</v>
      </c>
      <c r="G83" s="33">
        <f>'[1]Апрель'!D81</f>
        <v>18836.4</v>
      </c>
      <c r="H83" s="28">
        <f>$D:$D/$G:$G*100</f>
        <v>119.27130449555115</v>
      </c>
      <c r="I83" s="33">
        <f>D83-март!I83</f>
        <v>13529.92</v>
      </c>
    </row>
    <row r="84" spans="1:9" ht="12.75">
      <c r="A84" s="8" t="s">
        <v>72</v>
      </c>
      <c r="B84" s="27">
        <v>4</v>
      </c>
      <c r="C84" s="27">
        <v>3.84</v>
      </c>
      <c r="D84" s="27">
        <v>3.84</v>
      </c>
      <c r="E84" s="28">
        <v>0</v>
      </c>
      <c r="F84" s="28">
        <v>0</v>
      </c>
      <c r="G84" s="33">
        <f>'[1]Апрель'!D82</f>
        <v>170</v>
      </c>
      <c r="H84" s="28">
        <v>0</v>
      </c>
      <c r="I84" s="33">
        <f>D84-март!I84</f>
        <v>0.040000000000000036</v>
      </c>
    </row>
    <row r="85" spans="1:9" ht="25.5">
      <c r="A85" s="1" t="s">
        <v>27</v>
      </c>
      <c r="B85" s="27">
        <v>17625.39</v>
      </c>
      <c r="C85" s="27">
        <v>5377.87</v>
      </c>
      <c r="D85" s="27">
        <v>5263.05</v>
      </c>
      <c r="E85" s="28">
        <f>$D:$D/$B:$B*100</f>
        <v>29.860615850202464</v>
      </c>
      <c r="F85" s="28">
        <v>0</v>
      </c>
      <c r="G85" s="33">
        <f>'[1]Апрель'!D83</f>
        <v>4585.8</v>
      </c>
      <c r="H85" s="28">
        <f>$D:$D/$G:$G*100</f>
        <v>114.7684155436347</v>
      </c>
      <c r="I85" s="33">
        <f>D85-март!I85</f>
        <v>3100.3</v>
      </c>
    </row>
    <row r="86" spans="1:9" ht="12.75" hidden="1">
      <c r="A86" s="8" t="s">
        <v>28</v>
      </c>
      <c r="B86" s="27">
        <v>0</v>
      </c>
      <c r="C86" s="27">
        <v>0</v>
      </c>
      <c r="D86" s="27">
        <v>0</v>
      </c>
      <c r="E86" s="28">
        <v>0</v>
      </c>
      <c r="F86" s="28">
        <v>0</v>
      </c>
      <c r="G86" s="33">
        <f>'[1]Апрель'!D84</f>
        <v>0</v>
      </c>
      <c r="H86" s="28">
        <v>0</v>
      </c>
      <c r="I86" s="33">
        <f>D86-март!I86</f>
        <v>0</v>
      </c>
    </row>
    <row r="87" spans="1:9" ht="12.75">
      <c r="A87" s="8" t="s">
        <v>29</v>
      </c>
      <c r="B87" s="27">
        <v>22999.38</v>
      </c>
      <c r="C87" s="27">
        <v>0</v>
      </c>
      <c r="D87" s="27">
        <v>0</v>
      </c>
      <c r="E87" s="28">
        <f>$D:$D/$B:$B*100</f>
        <v>0</v>
      </c>
      <c r="F87" s="28">
        <v>0</v>
      </c>
      <c r="G87" s="33">
        <f>'[1]Апрель'!D85</f>
        <v>0</v>
      </c>
      <c r="H87" s="28">
        <v>0</v>
      </c>
      <c r="I87" s="33">
        <f>D87-март!I87</f>
        <v>0</v>
      </c>
    </row>
    <row r="88" spans="1:9" ht="12.75">
      <c r="A88" s="1" t="s">
        <v>30</v>
      </c>
      <c r="B88" s="27">
        <v>321985.66</v>
      </c>
      <c r="C88" s="27">
        <v>63206.54</v>
      </c>
      <c r="D88" s="27">
        <v>63016.17</v>
      </c>
      <c r="E88" s="28">
        <f>$D:$D/$B:$B*100</f>
        <v>19.57111071343985</v>
      </c>
      <c r="F88" s="28">
        <f>$D:$D/$C:$C*100</f>
        <v>99.69881281272475</v>
      </c>
      <c r="G88" s="33">
        <f>'[1]Апрель'!D86</f>
        <v>15627.3</v>
      </c>
      <c r="H88" s="28">
        <f>$D:$D/$G:$G*100</f>
        <v>403.2441304639957</v>
      </c>
      <c r="I88" s="33">
        <f>D88-март!I88</f>
        <v>54679.28</v>
      </c>
    </row>
    <row r="89" spans="1:9" ht="12.75">
      <c r="A89" s="7" t="s">
        <v>31</v>
      </c>
      <c r="B89" s="27">
        <v>527.7</v>
      </c>
      <c r="C89" s="27">
        <v>226.84</v>
      </c>
      <c r="D89" s="27">
        <v>226.84</v>
      </c>
      <c r="E89" s="25">
        <f>$D:$D/$B:$B*100</f>
        <v>42.98654538563578</v>
      </c>
      <c r="F89" s="25">
        <f>$D:$D/$C:$C*100</f>
        <v>100</v>
      </c>
      <c r="G89" s="33">
        <f>'[1]Апрель'!D87</f>
        <v>126.4</v>
      </c>
      <c r="H89" s="25">
        <v>0</v>
      </c>
      <c r="I89" s="33">
        <f>D89-март!I89</f>
        <v>178.47</v>
      </c>
    </row>
    <row r="90" spans="1:9" ht="25.5">
      <c r="A90" s="9" t="s">
        <v>32</v>
      </c>
      <c r="B90" s="27">
        <f>10710.65+647.41</f>
        <v>11358.06</v>
      </c>
      <c r="C90" s="27">
        <v>4579.91</v>
      </c>
      <c r="D90" s="27">
        <v>4415.23</v>
      </c>
      <c r="E90" s="25">
        <f>$D:$D/$B:$B*100</f>
        <v>38.87309980753756</v>
      </c>
      <c r="F90" s="25">
        <f>$D:$D/$C:$C*100</f>
        <v>96.40429615429123</v>
      </c>
      <c r="G90" s="33">
        <f>'[1]Апрель'!D88</f>
        <v>1569.3</v>
      </c>
      <c r="H90" s="25">
        <f>$D:$D/$G:$G*100</f>
        <v>281.3502835659211</v>
      </c>
      <c r="I90" s="33">
        <f>D90-март!I90</f>
        <v>2382.9399999999996</v>
      </c>
    </row>
    <row r="91" spans="1:9" ht="12.75">
      <c r="A91" s="7" t="s">
        <v>33</v>
      </c>
      <c r="B91" s="33">
        <f aca="true" t="shared" si="2" ref="B91:H91">B92+B93+B94+B95</f>
        <v>587326.25</v>
      </c>
      <c r="C91" s="33">
        <f t="shared" si="2"/>
        <v>43579.75</v>
      </c>
      <c r="D91" s="33">
        <f t="shared" si="2"/>
        <v>43579.75</v>
      </c>
      <c r="E91" s="33">
        <f t="shared" si="2"/>
        <v>43.65812416359525</v>
      </c>
      <c r="F91" s="33">
        <f t="shared" si="2"/>
        <v>200</v>
      </c>
      <c r="G91" s="33">
        <f>'[1]Апрель'!D89</f>
        <v>20692.800000000003</v>
      </c>
      <c r="H91" s="33">
        <f t="shared" si="2"/>
        <v>113.97788755586922</v>
      </c>
      <c r="I91" s="33">
        <f>D91-март!I91</f>
        <v>22376.049999999996</v>
      </c>
    </row>
    <row r="92" spans="1:9" ht="12.75" customHeight="1">
      <c r="A92" s="10" t="s">
        <v>67</v>
      </c>
      <c r="B92" s="27">
        <v>13452.34</v>
      </c>
      <c r="C92" s="27">
        <v>16.53</v>
      </c>
      <c r="D92" s="27">
        <v>16.53</v>
      </c>
      <c r="E92" s="28">
        <v>0</v>
      </c>
      <c r="F92" s="28">
        <v>0</v>
      </c>
      <c r="G92" s="33">
        <f>'[1]Апрель'!D90</f>
        <v>0</v>
      </c>
      <c r="H92" s="28">
        <v>0</v>
      </c>
      <c r="I92" s="33">
        <f>D92-март!I92</f>
        <v>16.53</v>
      </c>
    </row>
    <row r="93" spans="1:9" ht="12.75">
      <c r="A93" s="8" t="s">
        <v>34</v>
      </c>
      <c r="B93" s="27">
        <v>29381</v>
      </c>
      <c r="C93" s="27">
        <v>7148.26</v>
      </c>
      <c r="D93" s="27">
        <v>7148.26</v>
      </c>
      <c r="E93" s="28">
        <f>$D:$D/$B:$B*100</f>
        <v>24.32953269119499</v>
      </c>
      <c r="F93" s="28">
        <v>0</v>
      </c>
      <c r="G93" s="33">
        <f>'[1]Апрель'!D92</f>
        <v>6872.5</v>
      </c>
      <c r="H93" s="28">
        <v>0</v>
      </c>
      <c r="I93" s="33">
        <f>D93-март!I93</f>
        <v>4924.34</v>
      </c>
    </row>
    <row r="94" spans="1:9" ht="12.75">
      <c r="A94" s="10" t="s">
        <v>77</v>
      </c>
      <c r="B94" s="27">
        <v>511095.42</v>
      </c>
      <c r="C94" s="27">
        <v>32054.28</v>
      </c>
      <c r="D94" s="27">
        <v>32054.28</v>
      </c>
      <c r="E94" s="28">
        <f>$D:$D/$B:$B*100</f>
        <v>6.271682105858041</v>
      </c>
      <c r="F94" s="28">
        <f>$D:$D/$C:$C*100</f>
        <v>100</v>
      </c>
      <c r="G94" s="33">
        <f>'[1]Апрель'!D93</f>
        <v>9994.4</v>
      </c>
      <c r="H94" s="28">
        <v>0</v>
      </c>
      <c r="I94" s="33">
        <f>D94-март!I94</f>
        <v>15665.539999999997</v>
      </c>
    </row>
    <row r="95" spans="1:9" ht="12.75">
      <c r="A95" s="8" t="s">
        <v>35</v>
      </c>
      <c r="B95" s="27">
        <v>33397.49</v>
      </c>
      <c r="C95" s="27">
        <v>4360.68</v>
      </c>
      <c r="D95" s="27">
        <v>4360.68</v>
      </c>
      <c r="E95" s="28">
        <f>$D:$D/$B:$B*100</f>
        <v>13.056909366542218</v>
      </c>
      <c r="F95" s="28">
        <f>$D:$D/$C:$C*100</f>
        <v>100</v>
      </c>
      <c r="G95" s="33">
        <f>'[1]Апрель'!D94</f>
        <v>3825.9</v>
      </c>
      <c r="H95" s="28">
        <f>$D:$D/$G:$G*100</f>
        <v>113.97788755586922</v>
      </c>
      <c r="I95" s="33">
        <f>D95-март!I95</f>
        <v>1769.6400000000003</v>
      </c>
    </row>
    <row r="96" spans="1:9" ht="12.75">
      <c r="A96" s="7" t="s">
        <v>36</v>
      </c>
      <c r="B96" s="33">
        <f>B98+B99+B100+B97</f>
        <v>471623.07999999996</v>
      </c>
      <c r="C96" s="26">
        <f>C98+C99+C100+C97</f>
        <v>44304.33</v>
      </c>
      <c r="D96" s="33">
        <f>D98+D99+D100+D97</f>
        <v>43574.380000000005</v>
      </c>
      <c r="E96" s="33">
        <f>E99+E100+E97</f>
        <v>18.296652123758722</v>
      </c>
      <c r="F96" s="25">
        <f>$D:$D/$C:$C*100</f>
        <v>98.3524183753597</v>
      </c>
      <c r="G96" s="33">
        <f>'[1]Апрель'!D95</f>
        <v>18527.8</v>
      </c>
      <c r="H96" s="28">
        <f>$D:$D/$G:$G*100</f>
        <v>235.1837778905213</v>
      </c>
      <c r="I96" s="33">
        <f>D96-март!I96</f>
        <v>38372.58</v>
      </c>
    </row>
    <row r="97" spans="1:9" ht="12.75">
      <c r="A97" s="8" t="s">
        <v>37</v>
      </c>
      <c r="B97" s="27">
        <v>64113.88</v>
      </c>
      <c r="C97" s="27">
        <v>5550.02</v>
      </c>
      <c r="D97" s="27">
        <v>5550.02</v>
      </c>
      <c r="E97" s="43">
        <v>0</v>
      </c>
      <c r="F97" s="28">
        <v>0</v>
      </c>
      <c r="G97" s="33">
        <f>'[1]Апрель'!D96</f>
        <v>0</v>
      </c>
      <c r="H97" s="28">
        <v>0</v>
      </c>
      <c r="I97" s="33">
        <f>D97-март!I97</f>
        <v>5550.02</v>
      </c>
    </row>
    <row r="98" spans="1:9" ht="12.75">
      <c r="A98" s="8" t="s">
        <v>38</v>
      </c>
      <c r="B98" s="27">
        <v>4119.67</v>
      </c>
      <c r="C98" s="27">
        <v>0</v>
      </c>
      <c r="D98" s="27">
        <v>0</v>
      </c>
      <c r="E98" s="28">
        <f aca="true" t="shared" si="3" ref="E98:E103">$D:$D/$B:$B*100</f>
        <v>0</v>
      </c>
      <c r="F98" s="28">
        <v>0</v>
      </c>
      <c r="G98" s="33">
        <f>'[1]Апрель'!D97</f>
        <v>63.2</v>
      </c>
      <c r="H98" s="28">
        <v>0</v>
      </c>
      <c r="I98" s="33">
        <f>D98-март!I98</f>
        <v>0</v>
      </c>
    </row>
    <row r="99" spans="1:9" ht="12.75">
      <c r="A99" s="8" t="s">
        <v>39</v>
      </c>
      <c r="B99" s="27">
        <v>296762.04</v>
      </c>
      <c r="C99" s="27">
        <v>28898.37</v>
      </c>
      <c r="D99" s="27">
        <v>28898.37</v>
      </c>
      <c r="E99" s="28">
        <f t="shared" si="3"/>
        <v>9.737893027019224</v>
      </c>
      <c r="F99" s="28">
        <f>$D:$D/$C:$C*100</f>
        <v>100</v>
      </c>
      <c r="G99" s="33">
        <f>'[1]Апрель'!D98</f>
        <v>10115.8</v>
      </c>
      <c r="H99" s="28">
        <v>0</v>
      </c>
      <c r="I99" s="33">
        <f>D99-март!I99</f>
        <v>26491.21</v>
      </c>
    </row>
    <row r="100" spans="1:9" ht="12.75">
      <c r="A100" s="8" t="s">
        <v>40</v>
      </c>
      <c r="B100" s="27">
        <v>106627.49</v>
      </c>
      <c r="C100" s="27">
        <v>9855.94</v>
      </c>
      <c r="D100" s="27">
        <v>9125.99</v>
      </c>
      <c r="E100" s="28">
        <f t="shared" si="3"/>
        <v>8.558759096739498</v>
      </c>
      <c r="F100" s="28">
        <f>$D:$D/$C:$C*100</f>
        <v>92.59380637463296</v>
      </c>
      <c r="G100" s="33">
        <f>'[1]Апрель'!D99</f>
        <v>8348.8</v>
      </c>
      <c r="H100" s="28">
        <f>$D:$D/$G:$G*100</f>
        <v>109.309002491376</v>
      </c>
      <c r="I100" s="33">
        <f>D100-март!I100</f>
        <v>6331.349999999999</v>
      </c>
    </row>
    <row r="101" spans="1:9" ht="12.75">
      <c r="A101" s="11" t="s">
        <v>115</v>
      </c>
      <c r="B101" s="33">
        <f>B102+B103</f>
        <v>14079.48</v>
      </c>
      <c r="C101" s="33">
        <f>C102+C103</f>
        <v>992</v>
      </c>
      <c r="D101" s="33">
        <f>D102+D103</f>
        <v>992</v>
      </c>
      <c r="E101" s="25">
        <f t="shared" si="3"/>
        <v>7.045714756510894</v>
      </c>
      <c r="F101" s="25"/>
      <c r="G101" s="33">
        <f>'[1]Апрель'!D100</f>
        <v>308.1</v>
      </c>
      <c r="H101" s="25">
        <f>$D:$D/$G:$G*100</f>
        <v>321.9733852645245</v>
      </c>
      <c r="I101" s="33">
        <f>D101-март!I101</f>
        <v>642.6600000000001</v>
      </c>
    </row>
    <row r="102" spans="1:9" ht="25.5">
      <c r="A102" s="39" t="s">
        <v>166</v>
      </c>
      <c r="B102" s="27">
        <v>2094.04</v>
      </c>
      <c r="C102" s="27">
        <v>992</v>
      </c>
      <c r="D102" s="27">
        <v>992</v>
      </c>
      <c r="E102" s="28">
        <f t="shared" si="3"/>
        <v>47.37254302687628</v>
      </c>
      <c r="F102" s="28"/>
      <c r="G102" s="33">
        <f>'[1]Апрель'!D101</f>
        <v>308.1</v>
      </c>
      <c r="H102" s="28">
        <v>0</v>
      </c>
      <c r="I102" s="33">
        <f>D102-март!I102</f>
        <v>642.6600000000001</v>
      </c>
    </row>
    <row r="103" spans="1:9" ht="25.5">
      <c r="A103" s="39" t="s">
        <v>165</v>
      </c>
      <c r="B103" s="27">
        <v>11985.44</v>
      </c>
      <c r="C103" s="27">
        <v>0</v>
      </c>
      <c r="D103" s="27">
        <v>0</v>
      </c>
      <c r="E103" s="28">
        <f t="shared" si="3"/>
        <v>0</v>
      </c>
      <c r="F103" s="28"/>
      <c r="G103" s="33">
        <f>'[1]Апрель'!D102</f>
        <v>446811.4</v>
      </c>
      <c r="H103" s="28">
        <v>0</v>
      </c>
      <c r="I103" s="33">
        <f>D103-март!I103</f>
        <v>0</v>
      </c>
    </row>
    <row r="104" spans="1:9" ht="12.75">
      <c r="A104" s="11" t="s">
        <v>41</v>
      </c>
      <c r="B104" s="33">
        <f>B105+B106+B108+B109+B110+B107</f>
        <v>1871474.49</v>
      </c>
      <c r="C104" s="33">
        <f>C105+C106+C108+C109+C110+C107</f>
        <v>540141.4600000001</v>
      </c>
      <c r="D104" s="33">
        <f>D105+D106+D108+D109+D110+D107</f>
        <v>539987.3600000001</v>
      </c>
      <c r="E104" s="33">
        <f>E105+E106+E109+E110+E108</f>
        <v>119.50098688048864</v>
      </c>
      <c r="F104" s="33">
        <f>F105+F106+F109+F110+F108</f>
        <v>499.8496508566677</v>
      </c>
      <c r="G104" s="33">
        <f>'[1]Апрель'!D103</f>
        <v>176107.5</v>
      </c>
      <c r="H104" s="33">
        <f>H105+H106+H109+H110+H108</f>
        <v>818.4319016736426</v>
      </c>
      <c r="I104" s="33">
        <f>D104-март!I104</f>
        <v>381512.8500000001</v>
      </c>
    </row>
    <row r="105" spans="1:9" ht="12.75">
      <c r="A105" s="8" t="s">
        <v>42</v>
      </c>
      <c r="B105" s="27">
        <v>727750.38</v>
      </c>
      <c r="C105" s="27">
        <v>216105.74</v>
      </c>
      <c r="D105" s="27">
        <v>216105.73</v>
      </c>
      <c r="E105" s="28">
        <f aca="true" t="shared" si="4" ref="E105:E115">$D:$D/$B:$B*100</f>
        <v>29.695034992630305</v>
      </c>
      <c r="F105" s="28">
        <f aca="true" t="shared" si="5" ref="F105:F113">$D:$D/$C:$C*100</f>
        <v>99.99999537263564</v>
      </c>
      <c r="G105" s="33">
        <f>'[1]Апрель'!D104</f>
        <v>173333.1</v>
      </c>
      <c r="H105" s="28">
        <f>$D:$D/$G:$G*100</f>
        <v>124.67655052612572</v>
      </c>
      <c r="I105" s="33">
        <f>D105-март!I105</f>
        <v>152689.46000000002</v>
      </c>
    </row>
    <row r="106" spans="1:9" ht="12.75">
      <c r="A106" s="8" t="s">
        <v>43</v>
      </c>
      <c r="B106" s="27">
        <v>752325.38</v>
      </c>
      <c r="C106" s="27">
        <v>220850.64</v>
      </c>
      <c r="D106" s="27">
        <v>220770.67</v>
      </c>
      <c r="E106" s="28">
        <f t="shared" si="4"/>
        <v>29.345104640760628</v>
      </c>
      <c r="F106" s="28">
        <f t="shared" si="5"/>
        <v>99.9637900075816</v>
      </c>
      <c r="G106" s="33">
        <f>'[1]Апрель'!D105</f>
        <v>40195.7</v>
      </c>
      <c r="H106" s="28">
        <f>$D:$D/$G:$G*100</f>
        <v>549.2395206452433</v>
      </c>
      <c r="I106" s="33">
        <f>D106-март!I106</f>
        <v>155566.94</v>
      </c>
    </row>
    <row r="107" spans="1:9" ht="12.75">
      <c r="A107" s="90" t="s">
        <v>105</v>
      </c>
      <c r="B107" s="27">
        <v>145924.77</v>
      </c>
      <c r="C107" s="27">
        <v>40662.49</v>
      </c>
      <c r="D107" s="27">
        <v>40654.12</v>
      </c>
      <c r="E107" s="28">
        <f t="shared" si="4"/>
        <v>27.859643020167173</v>
      </c>
      <c r="F107" s="28">
        <f t="shared" si="5"/>
        <v>99.97941591870051</v>
      </c>
      <c r="G107" s="33">
        <f>'[1]Апрель'!D106</f>
        <v>131.7</v>
      </c>
      <c r="H107" s="28">
        <f>$D:$D/$G:$G*100</f>
        <v>30868.73196659074</v>
      </c>
      <c r="I107" s="33">
        <f>D107-март!I107</f>
        <v>28237.640000000003</v>
      </c>
    </row>
    <row r="108" spans="1:9" ht="25.5">
      <c r="A108" s="8" t="s">
        <v>123</v>
      </c>
      <c r="B108" s="27">
        <v>374.76</v>
      </c>
      <c r="C108" s="27">
        <v>51.2</v>
      </c>
      <c r="D108" s="27">
        <v>51.2</v>
      </c>
      <c r="E108" s="28">
        <f t="shared" si="4"/>
        <v>13.662077062653433</v>
      </c>
      <c r="F108" s="28">
        <f t="shared" si="5"/>
        <v>100</v>
      </c>
      <c r="G108" s="33">
        <f>'[1]Апрель'!D107</f>
        <v>8065</v>
      </c>
      <c r="H108" s="28">
        <v>0</v>
      </c>
      <c r="I108" s="33">
        <f>D108-март!I108</f>
        <v>29.7</v>
      </c>
    </row>
    <row r="109" spans="1:9" ht="12.75">
      <c r="A109" s="8" t="s">
        <v>44</v>
      </c>
      <c r="B109" s="27">
        <v>23325.22</v>
      </c>
      <c r="C109" s="27">
        <v>4863.93</v>
      </c>
      <c r="D109" s="27">
        <v>4863.93</v>
      </c>
      <c r="E109" s="28">
        <f t="shared" si="4"/>
        <v>20.85266505524921</v>
      </c>
      <c r="F109" s="28">
        <f t="shared" si="5"/>
        <v>100</v>
      </c>
      <c r="G109" s="33">
        <f>'[1]Апрель'!D108</f>
        <v>48978.4</v>
      </c>
      <c r="H109" s="28">
        <f>$D:$D/$G:$G*100</f>
        <v>9.9307653986247</v>
      </c>
      <c r="I109" s="33">
        <f>D109-март!I109</f>
        <v>3417.9400000000005</v>
      </c>
    </row>
    <row r="110" spans="1:9" ht="12.75">
      <c r="A110" s="8" t="s">
        <v>45</v>
      </c>
      <c r="B110" s="27">
        <v>221773.98</v>
      </c>
      <c r="C110" s="27">
        <v>57607.46</v>
      </c>
      <c r="D110" s="27">
        <v>57541.71</v>
      </c>
      <c r="E110" s="28">
        <f t="shared" si="4"/>
        <v>25.946105129195047</v>
      </c>
      <c r="F110" s="28">
        <f t="shared" si="5"/>
        <v>99.88586547645045</v>
      </c>
      <c r="G110" s="33">
        <f>'[1]Апрель'!D109</f>
        <v>42754.899999999994</v>
      </c>
      <c r="H110" s="28">
        <f>$D:$D/$G:$G*100</f>
        <v>134.58506510364896</v>
      </c>
      <c r="I110" s="33">
        <f>D110-март!I110</f>
        <v>41571.17</v>
      </c>
    </row>
    <row r="111" spans="1:9" ht="25.5">
      <c r="A111" s="11" t="s">
        <v>46</v>
      </c>
      <c r="B111" s="33">
        <f>B112+B113</f>
        <v>308937.44</v>
      </c>
      <c r="C111" s="33">
        <f>C112+C113</f>
        <v>76536.95</v>
      </c>
      <c r="D111" s="33">
        <f>D112+D113</f>
        <v>76534.74</v>
      </c>
      <c r="E111" s="25">
        <f t="shared" si="4"/>
        <v>24.773539911510888</v>
      </c>
      <c r="F111" s="25">
        <f t="shared" si="5"/>
        <v>99.9971125057897</v>
      </c>
      <c r="G111" s="33">
        <f>'[1]Апрель'!D110</f>
        <v>41930.2</v>
      </c>
      <c r="H111" s="25">
        <f>$D:$D/$G:$G*100</f>
        <v>182.52891710509374</v>
      </c>
      <c r="I111" s="33">
        <f>D111-март!I111</f>
        <v>43588.88000000001</v>
      </c>
    </row>
    <row r="112" spans="1:9" ht="12.75">
      <c r="A112" s="8" t="s">
        <v>47</v>
      </c>
      <c r="B112" s="27">
        <v>219701.1</v>
      </c>
      <c r="C112" s="27">
        <v>58031.09</v>
      </c>
      <c r="D112" s="27">
        <v>58031.08</v>
      </c>
      <c r="E112" s="28">
        <f t="shared" si="4"/>
        <v>26.413650181997266</v>
      </c>
      <c r="F112" s="28">
        <f t="shared" si="5"/>
        <v>99.99998276785772</v>
      </c>
      <c r="G112" s="33">
        <f>'[1]Апрель'!D111</f>
        <v>824.7</v>
      </c>
      <c r="H112" s="28">
        <f>$D:$D/$G:$G*100</f>
        <v>7036.629077240208</v>
      </c>
      <c r="I112" s="33">
        <f>D112-март!I112</f>
        <v>38401.090000000004</v>
      </c>
    </row>
    <row r="113" spans="1:9" ht="25.5">
      <c r="A113" s="8" t="s">
        <v>48</v>
      </c>
      <c r="B113" s="27">
        <v>89236.34</v>
      </c>
      <c r="C113" s="27">
        <v>18505.86</v>
      </c>
      <c r="D113" s="27">
        <v>18503.66</v>
      </c>
      <c r="E113" s="28">
        <f t="shared" si="4"/>
        <v>20.735565802003983</v>
      </c>
      <c r="F113" s="28">
        <f t="shared" si="5"/>
        <v>99.98811187375242</v>
      </c>
      <c r="G113" s="33">
        <f>'[1]Апрель'!D112</f>
        <v>0</v>
      </c>
      <c r="H113" s="28">
        <v>0</v>
      </c>
      <c r="I113" s="33">
        <f>D113-март!I113</f>
        <v>5187.790000000001</v>
      </c>
    </row>
    <row r="114" spans="1:9" ht="12.75">
      <c r="A114" s="11" t="s">
        <v>97</v>
      </c>
      <c r="B114" s="33">
        <f>B115</f>
        <v>163.45</v>
      </c>
      <c r="C114" s="33">
        <f>C115</f>
        <v>0</v>
      </c>
      <c r="D114" s="33">
        <f>D115</f>
        <v>0</v>
      </c>
      <c r="E114" s="25">
        <f t="shared" si="4"/>
        <v>0</v>
      </c>
      <c r="F114" s="25">
        <v>0</v>
      </c>
      <c r="G114" s="33">
        <f>'[1]Апрель'!D113</f>
        <v>0</v>
      </c>
      <c r="H114" s="25">
        <v>0</v>
      </c>
      <c r="I114" s="33">
        <f>D114-март!I114</f>
        <v>0</v>
      </c>
    </row>
    <row r="115" spans="1:9" ht="12.75">
      <c r="A115" s="8" t="s">
        <v>98</v>
      </c>
      <c r="B115" s="27">
        <v>163.45</v>
      </c>
      <c r="C115" s="27">
        <v>0</v>
      </c>
      <c r="D115" s="27">
        <v>0</v>
      </c>
      <c r="E115" s="28">
        <f t="shared" si="4"/>
        <v>0</v>
      </c>
      <c r="F115" s="28">
        <v>0</v>
      </c>
      <c r="G115" s="33">
        <f>'[1]Апрель'!D114</f>
        <v>29512</v>
      </c>
      <c r="H115" s="28">
        <v>0</v>
      </c>
      <c r="I115" s="33">
        <f>D115-март!I115</f>
        <v>0</v>
      </c>
    </row>
    <row r="116" spans="1:9" ht="12.75">
      <c r="A116" s="11" t="s">
        <v>49</v>
      </c>
      <c r="B116" s="33">
        <f>B117+B118+B119+B120</f>
        <v>169827.63</v>
      </c>
      <c r="C116" s="33">
        <f>C117+C118+C119+C120</f>
        <v>37470.33</v>
      </c>
      <c r="D116" s="33">
        <f>D117+D118+D119+D120</f>
        <v>37416.439999999995</v>
      </c>
      <c r="E116" s="33">
        <f>E117+E118+E119+E120</f>
        <v>81.5481013253005</v>
      </c>
      <c r="F116" s="33">
        <f>F117+F118+F119+F120</f>
        <v>192.99340451332407</v>
      </c>
      <c r="G116" s="33">
        <f>'[1]Апрель'!D115</f>
        <v>647.2</v>
      </c>
      <c r="H116" s="25">
        <v>0</v>
      </c>
      <c r="I116" s="33">
        <f>D116-март!I116</f>
        <v>19093.83999999999</v>
      </c>
    </row>
    <row r="117" spans="1:9" ht="12.75">
      <c r="A117" s="8" t="s">
        <v>50</v>
      </c>
      <c r="B117" s="27">
        <v>3025.38</v>
      </c>
      <c r="C117" s="27">
        <v>565.92</v>
      </c>
      <c r="D117" s="27">
        <v>565.93</v>
      </c>
      <c r="E117" s="28">
        <f aca="true" t="shared" si="6" ref="E117:E122">$D:$D/$B:$B*100</f>
        <v>18.706079897401313</v>
      </c>
      <c r="F117" s="28">
        <v>0</v>
      </c>
      <c r="G117" s="33">
        <f>'[1]Апрель'!D116</f>
        <v>0</v>
      </c>
      <c r="H117" s="28">
        <v>0</v>
      </c>
      <c r="I117" s="33">
        <f>D117-март!I117</f>
        <v>377.2699999999999</v>
      </c>
    </row>
    <row r="118" spans="1:9" ht="12.75">
      <c r="A118" s="8" t="s">
        <v>52</v>
      </c>
      <c r="B118" s="27">
        <v>106234.55</v>
      </c>
      <c r="C118" s="27">
        <v>31246.89</v>
      </c>
      <c r="D118" s="27">
        <v>31246.89</v>
      </c>
      <c r="E118" s="28">
        <f t="shared" si="6"/>
        <v>29.413114659967025</v>
      </c>
      <c r="F118" s="28">
        <f>$D:$D/$C:$C*100</f>
        <v>100</v>
      </c>
      <c r="G118" s="33">
        <f>'[1]Апрель'!D117</f>
        <v>25168.8</v>
      </c>
      <c r="H118" s="28">
        <v>0</v>
      </c>
      <c r="I118" s="33">
        <f>D118-март!I118</f>
        <v>15632.989999999998</v>
      </c>
    </row>
    <row r="119" spans="1:9" ht="12.75">
      <c r="A119" s="8" t="s">
        <v>53</v>
      </c>
      <c r="B119" s="27">
        <v>58037.9</v>
      </c>
      <c r="C119" s="27">
        <v>4981.3</v>
      </c>
      <c r="D119" s="27">
        <v>4974.78</v>
      </c>
      <c r="E119" s="28">
        <f t="shared" si="6"/>
        <v>8.57160579552327</v>
      </c>
      <c r="F119" s="28">
        <v>0</v>
      </c>
      <c r="G119" s="33">
        <f>'[1]Апрель'!D118</f>
        <v>3103.5</v>
      </c>
      <c r="H119" s="28">
        <v>0</v>
      </c>
      <c r="I119" s="33">
        <f>D119-март!I119</f>
        <v>2713.74</v>
      </c>
    </row>
    <row r="120" spans="1:9" ht="12.75">
      <c r="A120" s="8" t="s">
        <v>54</v>
      </c>
      <c r="B120" s="27">
        <v>2529.8</v>
      </c>
      <c r="C120" s="27">
        <v>676.22</v>
      </c>
      <c r="D120" s="27">
        <v>628.84</v>
      </c>
      <c r="E120" s="28">
        <f t="shared" si="6"/>
        <v>24.857300972408886</v>
      </c>
      <c r="F120" s="28">
        <f>$D:$D/$C:$C*100</f>
        <v>92.99340451332407</v>
      </c>
      <c r="G120" s="33">
        <f>'[1]Апрель'!D119</f>
        <v>592.5</v>
      </c>
      <c r="H120" s="28">
        <f>$D:$D/$G:$G*100</f>
        <v>106.13333333333334</v>
      </c>
      <c r="I120" s="33">
        <f>D120-март!I120</f>
        <v>369.84000000000003</v>
      </c>
    </row>
    <row r="121" spans="1:9" ht="12.75">
      <c r="A121" s="11" t="s">
        <v>61</v>
      </c>
      <c r="B121" s="27">
        <f>B122+B123+B124</f>
        <v>356599.47000000003</v>
      </c>
      <c r="C121" s="27">
        <f>C122+C123+C124</f>
        <v>60779.86000000001</v>
      </c>
      <c r="D121" s="27">
        <f>D122+D123+D124</f>
        <v>60766.99</v>
      </c>
      <c r="E121" s="25">
        <f t="shared" si="6"/>
        <v>17.040684328554946</v>
      </c>
      <c r="F121" s="25">
        <f>$D:$D/$C:$C*100</f>
        <v>99.97882522269711</v>
      </c>
      <c r="G121" s="33">
        <f>'[1]Апрель'!D120</f>
        <v>85432.3</v>
      </c>
      <c r="H121" s="25">
        <f>$D:$D/$G:$G*100</f>
        <v>71.12882364164373</v>
      </c>
      <c r="I121" s="33">
        <f>D121-март!I121</f>
        <v>34641.829999999994</v>
      </c>
    </row>
    <row r="122" spans="1:9" ht="12.75">
      <c r="A122" s="92" t="s">
        <v>63</v>
      </c>
      <c r="B122" s="27">
        <v>295719.28</v>
      </c>
      <c r="C122" s="27">
        <v>42852.68</v>
      </c>
      <c r="D122" s="27">
        <v>42852.67</v>
      </c>
      <c r="E122" s="28">
        <f t="shared" si="6"/>
        <v>14.490996325975091</v>
      </c>
      <c r="F122" s="28">
        <f>$D:$D/$C:$C*100</f>
        <v>99.99997666423664</v>
      </c>
      <c r="G122" s="33">
        <f>'[1]Апрель'!D121</f>
        <v>23255.2</v>
      </c>
      <c r="H122" s="28">
        <v>0</v>
      </c>
      <c r="I122" s="33">
        <f>D122-март!I122</f>
        <v>21718.539999999997</v>
      </c>
    </row>
    <row r="123" spans="1:9" ht="24.75" customHeight="1">
      <c r="A123" s="92" t="s">
        <v>154</v>
      </c>
      <c r="B123" s="27">
        <v>55828.52</v>
      </c>
      <c r="C123" s="27">
        <v>16438.31</v>
      </c>
      <c r="D123" s="27">
        <v>16438.32</v>
      </c>
      <c r="E123" s="28">
        <v>0</v>
      </c>
      <c r="F123" s="28">
        <v>0</v>
      </c>
      <c r="G123" s="33">
        <f>'[1]Апрель'!D122</f>
        <v>60808.9</v>
      </c>
      <c r="H123" s="28">
        <v>0</v>
      </c>
      <c r="I123" s="33">
        <f>D123-март!I123</f>
        <v>11989.080000000002</v>
      </c>
    </row>
    <row r="124" spans="1:9" ht="25.5">
      <c r="A124" s="12" t="s">
        <v>73</v>
      </c>
      <c r="B124" s="27">
        <v>5051.67</v>
      </c>
      <c r="C124" s="27">
        <v>1488.87</v>
      </c>
      <c r="D124" s="27">
        <v>1476</v>
      </c>
      <c r="E124" s="28">
        <f>$D:$D/$B:$B*100</f>
        <v>29.218060562150733</v>
      </c>
      <c r="F124" s="28">
        <f>$D:$D/$C:$C*100</f>
        <v>99.13558604847972</v>
      </c>
      <c r="G124" s="33">
        <f>'[1]Апрель'!D123</f>
        <v>1368.2</v>
      </c>
      <c r="H124" s="28">
        <v>0</v>
      </c>
      <c r="I124" s="33">
        <f>D124-март!I124</f>
        <v>934.21</v>
      </c>
    </row>
    <row r="125" spans="1:9" ht="26.25" customHeight="1">
      <c r="A125" s="13" t="s">
        <v>80</v>
      </c>
      <c r="B125" s="27">
        <v>100</v>
      </c>
      <c r="C125" s="27">
        <v>5.75</v>
      </c>
      <c r="D125" s="27">
        <v>5.75</v>
      </c>
      <c r="E125" s="28">
        <f>$D:$D/$B:$B*100</f>
        <v>5.75</v>
      </c>
      <c r="F125" s="28">
        <v>0</v>
      </c>
      <c r="G125" s="33">
        <f>'[1]Апрель'!D124</f>
        <v>2.01384</v>
      </c>
      <c r="H125" s="28">
        <v>0</v>
      </c>
      <c r="I125" s="33">
        <f>D125-март!I125</f>
        <v>5.75</v>
      </c>
    </row>
    <row r="126" spans="1:9" ht="13.5" customHeight="1">
      <c r="A126" s="12" t="s">
        <v>81</v>
      </c>
      <c r="B126" s="27">
        <v>100</v>
      </c>
      <c r="C126" s="27">
        <v>5.75</v>
      </c>
      <c r="D126" s="27">
        <v>5.75</v>
      </c>
      <c r="E126" s="28">
        <f>$D:$D/$B:$B*100</f>
        <v>5.75</v>
      </c>
      <c r="F126" s="28">
        <v>0</v>
      </c>
      <c r="G126" s="33">
        <f>'[1]Апрель'!D125</f>
        <v>2.01384</v>
      </c>
      <c r="H126" s="28">
        <v>0</v>
      </c>
      <c r="I126" s="33">
        <f>D126-март!I126</f>
        <v>5.75</v>
      </c>
    </row>
    <row r="127" spans="1:9" ht="15.75" customHeight="1">
      <c r="A127" s="14" t="s">
        <v>55</v>
      </c>
      <c r="B127" s="33">
        <f>B80+B89+B90+B91+B96+B104+B111+B114+B116+B121+B125+B101</f>
        <v>4234160.49</v>
      </c>
      <c r="C127" s="33">
        <f>C80+C89+C90+C91+C96+C104+C111+C114+C116+C121+C125+C101</f>
        <v>903491.29</v>
      </c>
      <c r="D127" s="33">
        <f>D80+D89+D90+D91+D96+D104+D111+D114+D116+D121+D125+D101</f>
        <v>901746.74</v>
      </c>
      <c r="E127" s="25">
        <f>$D:$D/$B:$B*100</f>
        <v>21.296942856315773</v>
      </c>
      <c r="F127" s="25">
        <f>$D:$D/$C:$C*100</f>
        <v>99.80691014741271</v>
      </c>
      <c r="G127" s="33">
        <f>'[1]Апрель'!D126</f>
        <v>687647.9138400002</v>
      </c>
      <c r="H127" s="25">
        <f>$D:$D/$G:$G*100</f>
        <v>131.13494883804967</v>
      </c>
      <c r="I127" s="33">
        <f>D127-март!I127</f>
        <v>616085.36</v>
      </c>
    </row>
    <row r="128" spans="1:9" ht="26.25" customHeight="1">
      <c r="A128" s="79" t="s">
        <v>56</v>
      </c>
      <c r="B128" s="80">
        <f>B74-B127</f>
        <v>-171004.68999999994</v>
      </c>
      <c r="C128" s="80">
        <f>C74-C127</f>
        <v>356005.8300000001</v>
      </c>
      <c r="D128" s="80">
        <f>D74-D127</f>
        <v>134925.24</v>
      </c>
      <c r="E128" s="80"/>
      <c r="F128" s="80"/>
      <c r="G128" s="33">
        <f>'[1]Апрель'!D127</f>
        <v>62425.98615999974</v>
      </c>
      <c r="H128" s="80"/>
      <c r="I128" s="33">
        <f>D128-март!I128</f>
        <v>10489.569999999949</v>
      </c>
    </row>
    <row r="129" spans="1:9" ht="24" customHeight="1">
      <c r="A129" s="1" t="s">
        <v>57</v>
      </c>
      <c r="B129" s="27" t="s">
        <v>159</v>
      </c>
      <c r="C129" s="27"/>
      <c r="D129" s="27" t="s">
        <v>171</v>
      </c>
      <c r="E129" s="27"/>
      <c r="F129" s="27"/>
      <c r="G129" s="27" t="s">
        <v>172</v>
      </c>
      <c r="H129" s="26"/>
      <c r="I129" s="33"/>
    </row>
    <row r="130" spans="1:9" ht="12.75">
      <c r="A130" s="3" t="s">
        <v>58</v>
      </c>
      <c r="B130" s="77">
        <f>B132+B133</f>
        <v>99223.6</v>
      </c>
      <c r="C130" s="77">
        <f aca="true" t="shared" si="7" ref="C130:H130">C132+C133</f>
        <v>0</v>
      </c>
      <c r="D130" s="77">
        <f>D132+D133</f>
        <v>217485.54</v>
      </c>
      <c r="E130" s="77">
        <f t="shared" si="7"/>
        <v>0</v>
      </c>
      <c r="F130" s="77">
        <f t="shared" si="7"/>
        <v>0</v>
      </c>
      <c r="G130" s="33">
        <f>'[1]Апрель'!D129</f>
        <v>93247.5</v>
      </c>
      <c r="H130" s="77">
        <f t="shared" si="7"/>
        <v>0</v>
      </c>
      <c r="I130" s="33">
        <f>D130-март!I130</f>
        <v>92049.94</v>
      </c>
    </row>
    <row r="131" spans="1:9" ht="12" customHeight="1">
      <c r="A131" s="1" t="s">
        <v>6</v>
      </c>
      <c r="B131" s="78"/>
      <c r="C131" s="27"/>
      <c r="D131" s="27" t="s">
        <v>148</v>
      </c>
      <c r="E131" s="27"/>
      <c r="F131" s="27"/>
      <c r="G131" s="33">
        <f>'[1]Апрель'!D130</f>
        <v>0</v>
      </c>
      <c r="H131" s="35"/>
      <c r="I131" s="33"/>
    </row>
    <row r="132" spans="1:9" ht="12.75">
      <c r="A132" s="5" t="s">
        <v>59</v>
      </c>
      <c r="B132" s="78">
        <v>53815.7</v>
      </c>
      <c r="C132" s="27"/>
      <c r="D132" s="27">
        <v>122377.72</v>
      </c>
      <c r="E132" s="27"/>
      <c r="F132" s="27"/>
      <c r="G132" s="33">
        <f>'[1]Апрель'!D131</f>
        <v>60071.5</v>
      </c>
      <c r="H132" s="35"/>
      <c r="I132" s="33">
        <f>D132-март!I132</f>
        <v>23423.42</v>
      </c>
    </row>
    <row r="133" spans="1:9" ht="12.75">
      <c r="A133" s="1" t="s">
        <v>60</v>
      </c>
      <c r="B133" s="78">
        <f>99223.6-B132</f>
        <v>45407.90000000001</v>
      </c>
      <c r="C133" s="27"/>
      <c r="D133" s="27">
        <v>95107.82</v>
      </c>
      <c r="E133" s="27"/>
      <c r="F133" s="27"/>
      <c r="G133" s="33">
        <f>'[1]Апрель'!D132</f>
        <v>33176</v>
      </c>
      <c r="H133" s="35"/>
      <c r="I133" s="33">
        <f>D133-март!I133</f>
        <v>68626.52</v>
      </c>
    </row>
    <row r="134" spans="1:9" ht="12.75">
      <c r="A134" s="3" t="s">
        <v>99</v>
      </c>
      <c r="B134" s="26">
        <f>B135-B136</f>
        <v>22950</v>
      </c>
      <c r="C134" s="26">
        <f aca="true" t="shared" si="8" ref="C134:H134">C135-C136</f>
        <v>-35000</v>
      </c>
      <c r="D134" s="26">
        <f t="shared" si="8"/>
        <v>-35000</v>
      </c>
      <c r="E134" s="26">
        <f t="shared" si="8"/>
        <v>0</v>
      </c>
      <c r="F134" s="26">
        <f t="shared" si="8"/>
        <v>0</v>
      </c>
      <c r="G134" s="33">
        <f>'[1]Апрель'!D133</f>
        <v>-12050</v>
      </c>
      <c r="H134" s="26">
        <f t="shared" si="8"/>
        <v>0</v>
      </c>
      <c r="I134" s="33">
        <f>D134-март!I134</f>
        <v>-35000</v>
      </c>
    </row>
    <row r="135" spans="1:9" ht="12.75">
      <c r="A135" s="2" t="s">
        <v>100</v>
      </c>
      <c r="B135" s="27">
        <v>35000</v>
      </c>
      <c r="C135" s="27">
        <v>0</v>
      </c>
      <c r="D135" s="27">
        <v>0</v>
      </c>
      <c r="E135" s="36"/>
      <c r="F135" s="36"/>
      <c r="G135" s="33" t="str">
        <f>'[1]Апрель'!D134</f>
        <v>-</v>
      </c>
      <c r="H135" s="37"/>
      <c r="I135" s="33">
        <f>D135-март!I135</f>
        <v>0</v>
      </c>
    </row>
    <row r="136" spans="1:9" ht="12.75">
      <c r="A136" s="2" t="s">
        <v>101</v>
      </c>
      <c r="B136" s="27">
        <v>12050</v>
      </c>
      <c r="C136" s="27">
        <v>35000</v>
      </c>
      <c r="D136" s="27">
        <v>35000</v>
      </c>
      <c r="E136" s="36"/>
      <c r="F136" s="36"/>
      <c r="G136" s="33">
        <f>'[1]Апрель'!D135</f>
        <v>12050</v>
      </c>
      <c r="H136" s="37"/>
      <c r="I136" s="33">
        <f>D136-март!I136</f>
        <v>35000</v>
      </c>
    </row>
    <row r="137" spans="1:9" ht="12.75">
      <c r="A137" s="15"/>
      <c r="B137" s="24"/>
      <c r="C137" s="24"/>
      <c r="D137" s="24"/>
      <c r="E137" s="24"/>
      <c r="F137" s="24"/>
      <c r="G137" s="84"/>
      <c r="H137" s="24"/>
      <c r="I137" s="24"/>
    </row>
    <row r="139" ht="12" customHeight="1">
      <c r="A139" s="21" t="s">
        <v>79</v>
      </c>
    </row>
    <row r="140" ht="12.75" customHeight="1" hidden="1"/>
    <row r="142" spans="1:9" ht="25.5">
      <c r="A142" s="15" t="s">
        <v>103</v>
      </c>
      <c r="B142" s="24"/>
      <c r="C142" s="24"/>
      <c r="D142" s="24" t="s">
        <v>137</v>
      </c>
      <c r="E142" s="24"/>
      <c r="F142" s="24"/>
      <c r="G142" s="84"/>
      <c r="H142" s="24"/>
      <c r="I142" s="24"/>
    </row>
  </sheetData>
  <sheetProtection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4"/>
  <sheetViews>
    <sheetView view="pageBreakPreview" zoomScaleSheetLayoutView="100" zoomScalePageLayoutView="0" workbookViewId="0" topLeftCell="A1">
      <pane xSplit="1" ySplit="6" topLeftCell="B9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01" sqref="A101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85" customWidth="1"/>
    <col min="8" max="8" width="11.875" style="22" customWidth="1"/>
    <col min="9" max="9" width="10.00390625" style="22" customWidth="1"/>
    <col min="10" max="10" width="9.125" style="21" customWidth="1"/>
    <col min="11" max="13" width="10.00390625" style="21" bestFit="1" customWidth="1"/>
    <col min="14" max="16384" width="9.125" style="21" customWidth="1"/>
  </cols>
  <sheetData>
    <row r="1" spans="1:9" ht="12.75">
      <c r="A1" s="117" t="s">
        <v>102</v>
      </c>
      <c r="B1" s="117"/>
      <c r="C1" s="117"/>
      <c r="D1" s="117"/>
      <c r="E1" s="117"/>
      <c r="F1" s="117"/>
      <c r="G1" s="117"/>
      <c r="H1" s="117"/>
      <c r="I1" s="86"/>
    </row>
    <row r="2" spans="1:9" ht="12.75">
      <c r="A2" s="118" t="s">
        <v>173</v>
      </c>
      <c r="B2" s="118"/>
      <c r="C2" s="118"/>
      <c r="D2" s="118"/>
      <c r="E2" s="118"/>
      <c r="F2" s="118"/>
      <c r="G2" s="118"/>
      <c r="H2" s="118"/>
      <c r="I2" s="87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1"/>
    </row>
    <row r="4" spans="1:9" ht="45" customHeight="1">
      <c r="A4" s="4" t="s">
        <v>1</v>
      </c>
      <c r="B4" s="17" t="s">
        <v>2</v>
      </c>
      <c r="C4" s="17" t="s">
        <v>174</v>
      </c>
      <c r="D4" s="17" t="s">
        <v>68</v>
      </c>
      <c r="E4" s="17" t="s">
        <v>66</v>
      </c>
      <c r="F4" s="17" t="s">
        <v>69</v>
      </c>
      <c r="G4" s="17" t="s">
        <v>156</v>
      </c>
      <c r="H4" s="17" t="s">
        <v>65</v>
      </c>
      <c r="I4" s="17" t="s">
        <v>71</v>
      </c>
    </row>
    <row r="5" spans="1:9" ht="12.75">
      <c r="A5" s="88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ht="12.75">
      <c r="A6" s="119" t="s">
        <v>3</v>
      </c>
      <c r="B6" s="119"/>
      <c r="C6" s="119"/>
      <c r="D6" s="119"/>
      <c r="E6" s="119"/>
      <c r="F6" s="119"/>
      <c r="G6" s="119"/>
      <c r="H6" s="119"/>
      <c r="I6" s="120"/>
    </row>
    <row r="7" spans="1:9" ht="12.75">
      <c r="A7" s="46" t="s">
        <v>104</v>
      </c>
      <c r="B7" s="33">
        <f>B8+B17+B22+B27+B30+B38+B47+B48+B49+B53+B64</f>
        <v>722378.1900000001</v>
      </c>
      <c r="C7" s="33">
        <f>C8+C17+C22+C27+C30+C38+C47+C48+C49+C53+C64</f>
        <v>236877.6</v>
      </c>
      <c r="D7" s="33">
        <f>D8+D17+D22+D27+D30+D38+D47+D48+D49+D53+D64+D37</f>
        <v>254177.27</v>
      </c>
      <c r="E7" s="25">
        <f>D7/B7*100</f>
        <v>35.1861772017231</v>
      </c>
      <c r="F7" s="25">
        <v>27699.089999999997</v>
      </c>
      <c r="G7" s="80">
        <v>270956.50000000006</v>
      </c>
      <c r="H7" s="25">
        <f>C7/G7*100</f>
        <v>87.42274128873083</v>
      </c>
      <c r="I7" s="33">
        <f>D7-Апрель!D7</f>
        <v>50919.28999999998</v>
      </c>
    </row>
    <row r="8" spans="1:9" ht="12.75">
      <c r="A8" s="47" t="s">
        <v>4</v>
      </c>
      <c r="B8" s="25">
        <f>B9+B10</f>
        <v>365325.60000000003</v>
      </c>
      <c r="C8" s="25">
        <f>C9+C10</f>
        <v>106021</v>
      </c>
      <c r="D8" s="25">
        <f>D9+D10</f>
        <v>117278.80000000002</v>
      </c>
      <c r="E8" s="25">
        <f aca="true" t="shared" si="0" ref="E8:E73">D8/B8*100</f>
        <v>32.10254085670427</v>
      </c>
      <c r="F8" s="25">
        <v>10645.39</v>
      </c>
      <c r="G8" s="94">
        <v>147778.8</v>
      </c>
      <c r="H8" s="25">
        <f aca="true" t="shared" si="1" ref="H8:H73">C8/G8*100</f>
        <v>71.7430375669582</v>
      </c>
      <c r="I8" s="33">
        <f>D8-Апрель!D8</f>
        <v>30666.089999999997</v>
      </c>
    </row>
    <row r="9" spans="1:9" ht="25.5">
      <c r="A9" s="54" t="s">
        <v>5</v>
      </c>
      <c r="B9" s="27">
        <v>8631</v>
      </c>
      <c r="C9" s="27">
        <v>5750</v>
      </c>
      <c r="D9" s="27">
        <v>7350.42</v>
      </c>
      <c r="E9" s="27">
        <f t="shared" si="0"/>
        <v>85.16301703163018</v>
      </c>
      <c r="F9" s="25">
        <v>200.86</v>
      </c>
      <c r="G9" s="77">
        <v>1435.6</v>
      </c>
      <c r="H9" s="25">
        <f t="shared" si="1"/>
        <v>400.5293953747562</v>
      </c>
      <c r="I9" s="33">
        <f>D9-Апрель!D9</f>
        <v>1022.29</v>
      </c>
    </row>
    <row r="10" spans="1:9" ht="12.75" customHeight="1">
      <c r="A10" s="54" t="s">
        <v>70</v>
      </c>
      <c r="B10" s="33">
        <f>SUM(B11:B16)</f>
        <v>356694.60000000003</v>
      </c>
      <c r="C10" s="33">
        <f>SUM(C11:C16)</f>
        <v>100271</v>
      </c>
      <c r="D10" s="33">
        <f>SUM(D11:D16)</f>
        <v>109928.38000000002</v>
      </c>
      <c r="E10" s="25">
        <f t="shared" si="0"/>
        <v>30.818627475717324</v>
      </c>
      <c r="F10" s="25">
        <v>10444.529999999999</v>
      </c>
      <c r="G10" s="95">
        <v>146343.3</v>
      </c>
      <c r="H10" s="25">
        <f t="shared" si="1"/>
        <v>68.51765677007421</v>
      </c>
      <c r="I10" s="33">
        <f>D10-Апрель!D10</f>
        <v>29643.800000000003</v>
      </c>
    </row>
    <row r="11" spans="1:9" ht="51">
      <c r="A11" s="51" t="s">
        <v>74</v>
      </c>
      <c r="B11" s="27">
        <v>336860.2</v>
      </c>
      <c r="C11" s="27">
        <v>91000</v>
      </c>
      <c r="D11" s="27">
        <v>104328.24</v>
      </c>
      <c r="E11" s="27">
        <f t="shared" si="0"/>
        <v>30.97078253827552</v>
      </c>
      <c r="F11" s="27">
        <v>10058</v>
      </c>
      <c r="G11" s="78">
        <v>93866.5</v>
      </c>
      <c r="H11" s="25">
        <f t="shared" si="1"/>
        <v>96.94619486185168</v>
      </c>
      <c r="I11" s="33">
        <f>D11-Апрель!D11</f>
        <v>27395.98000000001</v>
      </c>
    </row>
    <row r="12" spans="1:9" ht="51" customHeight="1">
      <c r="A12" s="51" t="s">
        <v>75</v>
      </c>
      <c r="B12" s="27">
        <v>1745</v>
      </c>
      <c r="C12" s="27">
        <v>681</v>
      </c>
      <c r="D12" s="27">
        <v>507.63</v>
      </c>
      <c r="E12" s="27">
        <f t="shared" si="0"/>
        <v>29.09054441260745</v>
      </c>
      <c r="F12" s="27">
        <v>81.56</v>
      </c>
      <c r="G12" s="78">
        <v>30.6</v>
      </c>
      <c r="H12" s="25">
        <f t="shared" si="1"/>
        <v>2225.4901960784314</v>
      </c>
      <c r="I12" s="33">
        <f>D12-Апрель!D12</f>
        <v>-392.94000000000005</v>
      </c>
    </row>
    <row r="13" spans="1:9" ht="25.5">
      <c r="A13" s="51" t="s">
        <v>76</v>
      </c>
      <c r="B13" s="27">
        <v>5600.4</v>
      </c>
      <c r="C13" s="27">
        <v>2130</v>
      </c>
      <c r="D13" s="27">
        <v>63.43</v>
      </c>
      <c r="E13" s="27">
        <f t="shared" si="0"/>
        <v>1.132597671594886</v>
      </c>
      <c r="F13" s="27">
        <v>117.15</v>
      </c>
      <c r="G13" s="78">
        <v>1985.4</v>
      </c>
      <c r="H13" s="25">
        <f t="shared" si="1"/>
        <v>107.28316711997581</v>
      </c>
      <c r="I13" s="33">
        <f>D13-Апрель!D13</f>
        <v>21.659999999999997</v>
      </c>
    </row>
    <row r="14" spans="1:9" ht="63.75">
      <c r="A14" s="51" t="s">
        <v>78</v>
      </c>
      <c r="B14" s="27">
        <v>3850</v>
      </c>
      <c r="C14" s="27">
        <v>1460</v>
      </c>
      <c r="D14" s="27">
        <v>1536.02</v>
      </c>
      <c r="E14" s="27">
        <f t="shared" si="0"/>
        <v>39.896623376623374</v>
      </c>
      <c r="F14" s="27">
        <v>187.82</v>
      </c>
      <c r="G14" s="78">
        <v>1486.6</v>
      </c>
      <c r="H14" s="25">
        <f t="shared" si="1"/>
        <v>98.21068209336742</v>
      </c>
      <c r="I14" s="33">
        <f>D14-Апрель!D14</f>
        <v>371.8899999999999</v>
      </c>
    </row>
    <row r="15" spans="1:9" ht="37.5" customHeight="1">
      <c r="A15" s="51" t="s">
        <v>145</v>
      </c>
      <c r="B15" s="27">
        <v>8639</v>
      </c>
      <c r="C15" s="27">
        <v>5000</v>
      </c>
      <c r="D15" s="27">
        <v>1948.85</v>
      </c>
      <c r="E15" s="27">
        <f t="shared" si="0"/>
        <v>22.5587452251418</v>
      </c>
      <c r="F15" s="27"/>
      <c r="G15" s="93">
        <v>48974.2</v>
      </c>
      <c r="H15" s="25">
        <f t="shared" si="1"/>
        <v>10.209457224416122</v>
      </c>
      <c r="I15" s="33">
        <f>D15-Апрель!D15</f>
        <v>1905.75</v>
      </c>
    </row>
    <row r="16" spans="1:9" ht="53.25" customHeight="1">
      <c r="A16" s="51" t="s">
        <v>164</v>
      </c>
      <c r="B16" s="27">
        <v>0</v>
      </c>
      <c r="C16" s="27">
        <v>0</v>
      </c>
      <c r="D16" s="27">
        <v>1544.21</v>
      </c>
      <c r="E16" s="27">
        <v>0</v>
      </c>
      <c r="F16" s="27"/>
      <c r="G16" s="33">
        <v>0</v>
      </c>
      <c r="H16" s="25">
        <v>0</v>
      </c>
      <c r="I16" s="33">
        <f>D16-Апрель!D16</f>
        <v>341.46000000000004</v>
      </c>
    </row>
    <row r="17" spans="1:9" ht="39.75" customHeight="1">
      <c r="A17" s="53" t="s">
        <v>82</v>
      </c>
      <c r="B17" s="26">
        <f>SUM(B18:B21)</f>
        <v>59089.46000000001</v>
      </c>
      <c r="C17" s="26">
        <f>SUM(C18:C21)</f>
        <v>27270</v>
      </c>
      <c r="D17" s="26">
        <f>SUM(D18:D21)</f>
        <v>26671.94</v>
      </c>
      <c r="E17" s="25">
        <f t="shared" si="0"/>
        <v>45.13823615920673</v>
      </c>
      <c r="F17" s="25">
        <v>1853.18</v>
      </c>
      <c r="G17" s="77">
        <v>24837.6</v>
      </c>
      <c r="H17" s="25">
        <f t="shared" si="1"/>
        <v>109.79321673591652</v>
      </c>
      <c r="I17" s="33">
        <f>D17-Апрель!D17</f>
        <v>5369.559999999998</v>
      </c>
    </row>
    <row r="18" spans="1:9" ht="37.5" customHeight="1">
      <c r="A18" s="37" t="s">
        <v>83</v>
      </c>
      <c r="B18" s="27">
        <v>27987.73</v>
      </c>
      <c r="C18" s="27">
        <v>13245</v>
      </c>
      <c r="D18" s="27">
        <v>13752.13</v>
      </c>
      <c r="E18" s="27">
        <f t="shared" si="0"/>
        <v>49.13628222081605</v>
      </c>
      <c r="F18" s="27">
        <v>844.23</v>
      </c>
      <c r="G18" s="93">
        <v>12161.3</v>
      </c>
      <c r="H18" s="25">
        <f t="shared" si="1"/>
        <v>108.91105391693323</v>
      </c>
      <c r="I18" s="33">
        <f>D18-Апрель!D18</f>
        <v>2803.129999999999</v>
      </c>
    </row>
    <row r="19" spans="1:9" ht="56.25" customHeight="1">
      <c r="A19" s="37" t="s">
        <v>84</v>
      </c>
      <c r="B19" s="27">
        <v>194.4</v>
      </c>
      <c r="C19" s="27">
        <v>75</v>
      </c>
      <c r="D19" s="27">
        <v>68.24</v>
      </c>
      <c r="E19" s="27">
        <f t="shared" si="0"/>
        <v>35.102880658436206</v>
      </c>
      <c r="F19" s="27">
        <v>5.74</v>
      </c>
      <c r="G19" s="93">
        <v>75.3</v>
      </c>
      <c r="H19" s="25">
        <f t="shared" si="1"/>
        <v>99.60159362549801</v>
      </c>
      <c r="I19" s="33">
        <f>D19-Апрель!D19</f>
        <v>17.96999999999999</v>
      </c>
    </row>
    <row r="20" spans="1:9" ht="55.5" customHeight="1">
      <c r="A20" s="37" t="s">
        <v>85</v>
      </c>
      <c r="B20" s="27">
        <v>34598.53</v>
      </c>
      <c r="C20" s="27">
        <v>15450</v>
      </c>
      <c r="D20" s="27">
        <v>14565.04</v>
      </c>
      <c r="E20" s="27">
        <f t="shared" si="0"/>
        <v>42.09727985553144</v>
      </c>
      <c r="F20" s="27">
        <v>1158.41</v>
      </c>
      <c r="G20" s="93">
        <v>14093.3</v>
      </c>
      <c r="H20" s="25">
        <f t="shared" si="1"/>
        <v>109.62656013850554</v>
      </c>
      <c r="I20" s="33">
        <f>D20-Апрель!D20</f>
        <v>2905.8100000000013</v>
      </c>
    </row>
    <row r="21" spans="1:9" ht="15.75" customHeight="1">
      <c r="A21" s="37" t="s">
        <v>86</v>
      </c>
      <c r="B21" s="27">
        <v>-3691.2</v>
      </c>
      <c r="C21" s="27">
        <v>-1500</v>
      </c>
      <c r="D21" s="27">
        <v>-1713.47</v>
      </c>
      <c r="E21" s="27">
        <f t="shared" si="0"/>
        <v>46.42040528825315</v>
      </c>
      <c r="F21" s="27">
        <v>-155.2</v>
      </c>
      <c r="G21" s="93">
        <v>-1492.3</v>
      </c>
      <c r="H21" s="25">
        <f t="shared" si="1"/>
        <v>100.51598204114454</v>
      </c>
      <c r="I21" s="33">
        <f>D21-Апрель!D21</f>
        <v>-357.35000000000014</v>
      </c>
    </row>
    <row r="22" spans="1:9" ht="12.75">
      <c r="A22" s="54" t="s">
        <v>7</v>
      </c>
      <c r="B22" s="26">
        <f>SUM(B23:B26)</f>
        <v>148961.30000000002</v>
      </c>
      <c r="C22" s="26">
        <f>SUM(C23:C26)</f>
        <v>70200</v>
      </c>
      <c r="D22" s="26">
        <f>SUM(D23:D26)</f>
        <v>74270.33</v>
      </c>
      <c r="E22" s="25">
        <f t="shared" si="0"/>
        <v>49.85880896581863</v>
      </c>
      <c r="F22" s="25">
        <v>7362.96</v>
      </c>
      <c r="G22" s="77">
        <v>58267.100000000006</v>
      </c>
      <c r="H22" s="25">
        <f t="shared" si="1"/>
        <v>120.47965318335731</v>
      </c>
      <c r="I22" s="33">
        <f>D22-Апрель!D22</f>
        <v>6362.069999999992</v>
      </c>
    </row>
    <row r="23" spans="1:9" ht="28.5" customHeight="1">
      <c r="A23" s="51" t="s">
        <v>146</v>
      </c>
      <c r="B23" s="27">
        <v>116885.1</v>
      </c>
      <c r="C23" s="27">
        <v>56700</v>
      </c>
      <c r="D23" s="27">
        <v>61389.5</v>
      </c>
      <c r="E23" s="27">
        <f t="shared" si="0"/>
        <v>52.52123666746231</v>
      </c>
      <c r="F23" s="27"/>
      <c r="G23" s="78">
        <v>46656</v>
      </c>
      <c r="H23" s="25">
        <f t="shared" si="1"/>
        <v>121.52777777777777</v>
      </c>
      <c r="I23" s="33">
        <f>D23-Апрель!D23</f>
        <v>5839.239999999998</v>
      </c>
    </row>
    <row r="24" spans="1:9" ht="19.5" customHeight="1">
      <c r="A24" s="51" t="s">
        <v>89</v>
      </c>
      <c r="B24" s="27">
        <v>0</v>
      </c>
      <c r="C24" s="27">
        <v>0</v>
      </c>
      <c r="D24" s="27">
        <v>-657.75</v>
      </c>
      <c r="E24" s="27" t="s">
        <v>148</v>
      </c>
      <c r="F24" s="27">
        <v>7198.75</v>
      </c>
      <c r="G24" s="78">
        <v>-4.4</v>
      </c>
      <c r="H24" s="25">
        <f t="shared" si="1"/>
        <v>0</v>
      </c>
      <c r="I24" s="33">
        <f>D24-Апрель!D24</f>
        <v>-0.12000000000000455</v>
      </c>
    </row>
    <row r="25" spans="1:9" ht="15" customHeight="1">
      <c r="A25" s="51" t="s">
        <v>87</v>
      </c>
      <c r="B25" s="27">
        <v>715</v>
      </c>
      <c r="C25" s="27">
        <v>300</v>
      </c>
      <c r="D25" s="27">
        <v>439.97</v>
      </c>
      <c r="E25" s="27">
        <f t="shared" si="0"/>
        <v>61.53426573426574</v>
      </c>
      <c r="F25" s="27">
        <v>113.58</v>
      </c>
      <c r="G25" s="93">
        <v>541.8</v>
      </c>
      <c r="H25" s="25">
        <f t="shared" si="1"/>
        <v>55.370985603543744</v>
      </c>
      <c r="I25" s="33">
        <f>D25-Апрель!D25</f>
        <v>13.870000000000005</v>
      </c>
    </row>
    <row r="26" spans="1:9" ht="27" customHeight="1">
      <c r="A26" s="51" t="s">
        <v>88</v>
      </c>
      <c r="B26" s="27">
        <v>31361.2</v>
      </c>
      <c r="C26" s="27">
        <v>13200</v>
      </c>
      <c r="D26" s="27">
        <v>13098.61</v>
      </c>
      <c r="E26" s="27">
        <f t="shared" si="0"/>
        <v>41.76692856140709</v>
      </c>
      <c r="F26" s="27">
        <v>50.63</v>
      </c>
      <c r="G26" s="78">
        <v>11073.7</v>
      </c>
      <c r="H26" s="25">
        <f t="shared" si="1"/>
        <v>119.20135094864408</v>
      </c>
      <c r="I26" s="33">
        <f>D26-Апрель!D26</f>
        <v>509.0799999999999</v>
      </c>
    </row>
    <row r="27" spans="1:9" ht="12.75">
      <c r="A27" s="54" t="s">
        <v>8</v>
      </c>
      <c r="B27" s="26">
        <f>SUM(B28:B29)</f>
        <v>42454.6</v>
      </c>
      <c r="C27" s="26">
        <f>SUM(C28:C29)</f>
        <v>6650</v>
      </c>
      <c r="D27" s="26">
        <f>SUM(D28:D29)</f>
        <v>7103.74</v>
      </c>
      <c r="E27" s="25">
        <f t="shared" si="0"/>
        <v>16.73255666052677</v>
      </c>
      <c r="F27" s="25">
        <v>2465.82</v>
      </c>
      <c r="G27" s="77">
        <v>7333.1</v>
      </c>
      <c r="H27" s="25">
        <f t="shared" si="1"/>
        <v>90.68470360420558</v>
      </c>
      <c r="I27" s="33">
        <f>D27-Апрель!D27</f>
        <v>1225.5900000000001</v>
      </c>
    </row>
    <row r="28" spans="1:9" ht="12.75">
      <c r="A28" s="51" t="s">
        <v>106</v>
      </c>
      <c r="B28" s="27">
        <v>24668.5</v>
      </c>
      <c r="C28" s="27">
        <v>2500</v>
      </c>
      <c r="D28" s="27">
        <v>1957.52</v>
      </c>
      <c r="E28" s="27">
        <f t="shared" si="0"/>
        <v>7.935302105924559</v>
      </c>
      <c r="F28" s="27">
        <v>536.1</v>
      </c>
      <c r="G28" s="93">
        <v>2834.6</v>
      </c>
      <c r="H28" s="25">
        <f t="shared" si="1"/>
        <v>88.1958653778311</v>
      </c>
      <c r="I28" s="33">
        <f>D28-Апрель!D28</f>
        <v>248.56999999999994</v>
      </c>
    </row>
    <row r="29" spans="1:9" ht="12.75">
      <c r="A29" s="51" t="s">
        <v>107</v>
      </c>
      <c r="B29" s="27">
        <v>17786.1</v>
      </c>
      <c r="C29" s="27">
        <v>4150</v>
      </c>
      <c r="D29" s="27">
        <v>5146.22</v>
      </c>
      <c r="E29" s="27">
        <f t="shared" si="0"/>
        <v>28.93394279802768</v>
      </c>
      <c r="F29" s="27">
        <v>1929.72</v>
      </c>
      <c r="G29" s="78">
        <v>4498.5</v>
      </c>
      <c r="H29" s="25">
        <f t="shared" si="1"/>
        <v>92.25297321329332</v>
      </c>
      <c r="I29" s="33">
        <f>D29-Апрель!D29</f>
        <v>977.0200000000004</v>
      </c>
    </row>
    <row r="30" spans="1:9" ht="12.75">
      <c r="A30" s="47" t="s">
        <v>9</v>
      </c>
      <c r="B30" s="26">
        <f>SUM(B31:B33)</f>
        <v>15600</v>
      </c>
      <c r="C30" s="26">
        <f>SUM(C31:C33)</f>
        <v>6015</v>
      </c>
      <c r="D30" s="26">
        <f>SUM(D31:D33)</f>
        <v>7232.37</v>
      </c>
      <c r="E30" s="26">
        <f t="shared" si="0"/>
        <v>46.361346153846156</v>
      </c>
      <c r="F30" s="26">
        <v>793.07</v>
      </c>
      <c r="G30" s="77">
        <v>6399.2</v>
      </c>
      <c r="H30" s="25">
        <f t="shared" si="1"/>
        <v>93.99612451556445</v>
      </c>
      <c r="I30" s="33">
        <f>D30-Апрель!D30</f>
        <v>1394.2699999999995</v>
      </c>
    </row>
    <row r="31" spans="1:9" ht="25.5">
      <c r="A31" s="51" t="s">
        <v>10</v>
      </c>
      <c r="B31" s="27">
        <v>15550</v>
      </c>
      <c r="C31" s="27">
        <v>6000</v>
      </c>
      <c r="D31" s="27">
        <v>7212.37</v>
      </c>
      <c r="E31" s="27">
        <f t="shared" si="0"/>
        <v>46.38180064308682</v>
      </c>
      <c r="F31" s="27">
        <v>793.07</v>
      </c>
      <c r="G31" s="78">
        <v>6325.2</v>
      </c>
      <c r="H31" s="25">
        <f t="shared" si="1"/>
        <v>94.8586605957124</v>
      </c>
      <c r="I31" s="33">
        <f>D31-Апрель!D31</f>
        <v>1394.2699999999995</v>
      </c>
    </row>
    <row r="32" spans="1:9" ht="25.5">
      <c r="A32" s="51" t="s">
        <v>91</v>
      </c>
      <c r="B32" s="27">
        <v>0</v>
      </c>
      <c r="C32" s="27">
        <v>0</v>
      </c>
      <c r="D32" s="27">
        <v>0</v>
      </c>
      <c r="E32" s="27" t="s">
        <v>148</v>
      </c>
      <c r="F32" s="27">
        <v>0</v>
      </c>
      <c r="G32" s="96">
        <v>24</v>
      </c>
      <c r="H32" s="25">
        <f t="shared" si="1"/>
        <v>0</v>
      </c>
      <c r="I32" s="33">
        <f>D32-Апрель!D32</f>
        <v>0</v>
      </c>
    </row>
    <row r="33" spans="1:9" ht="25.5">
      <c r="A33" s="51" t="s">
        <v>90</v>
      </c>
      <c r="B33" s="27">
        <v>50</v>
      </c>
      <c r="C33" s="27">
        <v>15</v>
      </c>
      <c r="D33" s="27">
        <v>20</v>
      </c>
      <c r="E33" s="27">
        <f t="shared" si="0"/>
        <v>40</v>
      </c>
      <c r="F33" s="27">
        <v>0</v>
      </c>
      <c r="G33" s="96">
        <v>50</v>
      </c>
      <c r="H33" s="25">
        <f t="shared" si="1"/>
        <v>30</v>
      </c>
      <c r="I33" s="33">
        <f>D33-Апрель!D33</f>
        <v>0</v>
      </c>
    </row>
    <row r="34" spans="1:9" ht="25.5" hidden="1">
      <c r="A34" s="54" t="s">
        <v>11</v>
      </c>
      <c r="B34" s="27">
        <v>0</v>
      </c>
      <c r="C34" s="27">
        <v>0</v>
      </c>
      <c r="D34" s="27">
        <v>0.02</v>
      </c>
      <c r="E34" s="25" t="e">
        <f t="shared" si="0"/>
        <v>#DIV/0!</v>
      </c>
      <c r="F34" s="25">
        <v>0</v>
      </c>
      <c r="G34" s="78">
        <v>0.02</v>
      </c>
      <c r="H34" s="25">
        <f t="shared" si="1"/>
        <v>0</v>
      </c>
      <c r="I34" s="33">
        <f>D34-Апрель!D34</f>
        <v>0</v>
      </c>
    </row>
    <row r="35" spans="1:9" ht="25.5" hidden="1">
      <c r="A35" s="51" t="s">
        <v>116</v>
      </c>
      <c r="B35" s="33">
        <v>0</v>
      </c>
      <c r="C35" s="33">
        <v>0</v>
      </c>
      <c r="D35" s="33">
        <v>0.02</v>
      </c>
      <c r="E35" s="25" t="e">
        <f t="shared" si="0"/>
        <v>#DIV/0!</v>
      </c>
      <c r="F35" s="25">
        <v>0</v>
      </c>
      <c r="G35" s="80">
        <v>0.02</v>
      </c>
      <c r="H35" s="25">
        <f t="shared" si="1"/>
        <v>0</v>
      </c>
      <c r="I35" s="33">
        <f>D35-Апрель!D35</f>
        <v>0</v>
      </c>
    </row>
    <row r="36" spans="1:9" ht="25.5" hidden="1">
      <c r="A36" s="51" t="s">
        <v>92</v>
      </c>
      <c r="B36" s="27">
        <v>0</v>
      </c>
      <c r="C36" s="27">
        <v>0</v>
      </c>
      <c r="D36" s="27">
        <v>0</v>
      </c>
      <c r="E36" s="25" t="e">
        <f t="shared" si="0"/>
        <v>#DIV/0!</v>
      </c>
      <c r="F36" s="25">
        <v>0</v>
      </c>
      <c r="G36" s="78">
        <v>0</v>
      </c>
      <c r="H36" s="25" t="e">
        <f t="shared" si="1"/>
        <v>#DIV/0!</v>
      </c>
      <c r="I36" s="33">
        <f>D36-Апрель!D36</f>
        <v>0</v>
      </c>
    </row>
    <row r="37" spans="1:9" ht="38.25">
      <c r="A37" s="54" t="s">
        <v>150</v>
      </c>
      <c r="B37" s="27">
        <v>0</v>
      </c>
      <c r="C37" s="27">
        <v>0</v>
      </c>
      <c r="D37" s="27">
        <v>-8.11</v>
      </c>
      <c r="E37" s="25">
        <v>0</v>
      </c>
      <c r="F37" s="25"/>
      <c r="G37" s="77">
        <v>0</v>
      </c>
      <c r="H37" s="25">
        <v>0</v>
      </c>
      <c r="I37" s="33">
        <f>D37-Апрель!D37</f>
        <v>-0.009999999999999787</v>
      </c>
    </row>
    <row r="38" spans="1:9" ht="39.75" customHeight="1">
      <c r="A38" s="54" t="s">
        <v>12</v>
      </c>
      <c r="B38" s="26">
        <f>SUM(B40:B46)</f>
        <v>57702.52</v>
      </c>
      <c r="C38" s="26">
        <f>SUM(C40:C46)</f>
        <v>24930.290000000005</v>
      </c>
      <c r="D38" s="26">
        <f>SUM(D40:D46)</f>
        <v>20493.399999999998</v>
      </c>
      <c r="E38" s="26">
        <f t="shared" si="0"/>
        <v>35.51560659742417</v>
      </c>
      <c r="F38" s="26">
        <v>3247.05</v>
      </c>
      <c r="G38" s="77">
        <v>20333.1</v>
      </c>
      <c r="H38" s="25">
        <f t="shared" si="1"/>
        <v>122.60939059956428</v>
      </c>
      <c r="I38" s="33">
        <f>D38-Апрель!D38</f>
        <v>2694.7800000000025</v>
      </c>
    </row>
    <row r="39" spans="1:9" ht="81.75" customHeight="1" hidden="1">
      <c r="A39" s="51" t="s">
        <v>114</v>
      </c>
      <c r="B39" s="27"/>
      <c r="C39" s="27"/>
      <c r="D39" s="27"/>
      <c r="E39" s="25" t="e">
        <f t="shared" si="0"/>
        <v>#DIV/0!</v>
      </c>
      <c r="F39" s="25"/>
      <c r="G39" s="78"/>
      <c r="H39" s="25" t="e">
        <f t="shared" si="1"/>
        <v>#DIV/0!</v>
      </c>
      <c r="I39" s="33">
        <f>D39-Апрель!D39</f>
        <v>0</v>
      </c>
    </row>
    <row r="40" spans="1:9" ht="76.5">
      <c r="A40" s="51" t="s">
        <v>117</v>
      </c>
      <c r="B40" s="27">
        <v>29271.18</v>
      </c>
      <c r="C40" s="27">
        <v>12196.35</v>
      </c>
      <c r="D40" s="27">
        <v>9998.8</v>
      </c>
      <c r="E40" s="27">
        <f t="shared" si="0"/>
        <v>34.15919686189624</v>
      </c>
      <c r="F40" s="27">
        <v>2393.3</v>
      </c>
      <c r="G40" s="93">
        <v>12298.4</v>
      </c>
      <c r="H40" s="25">
        <f t="shared" si="1"/>
        <v>99.17021726403435</v>
      </c>
      <c r="I40" s="33">
        <f>D40-Апрель!D40</f>
        <v>842.4499999999989</v>
      </c>
    </row>
    <row r="41" spans="1:9" ht="76.5">
      <c r="A41" s="51" t="s">
        <v>125</v>
      </c>
      <c r="B41" s="27">
        <v>5434.31</v>
      </c>
      <c r="C41" s="27">
        <v>2264.3</v>
      </c>
      <c r="D41" s="27">
        <v>2204.11</v>
      </c>
      <c r="E41" s="27">
        <f t="shared" si="0"/>
        <v>40.559151023773026</v>
      </c>
      <c r="F41" s="27">
        <v>75.44</v>
      </c>
      <c r="G41" s="93">
        <v>1319.1</v>
      </c>
      <c r="H41" s="25">
        <f t="shared" si="1"/>
        <v>171.65491623076343</v>
      </c>
      <c r="I41" s="33">
        <f>D41-Апрель!D41</f>
        <v>407.47</v>
      </c>
    </row>
    <row r="42" spans="1:9" ht="76.5">
      <c r="A42" s="51" t="s">
        <v>118</v>
      </c>
      <c r="B42" s="27">
        <v>515.73</v>
      </c>
      <c r="C42" s="27">
        <v>209.39000000000001</v>
      </c>
      <c r="D42" s="27">
        <v>291.33</v>
      </c>
      <c r="E42" s="27">
        <f t="shared" si="0"/>
        <v>56.48886045023558</v>
      </c>
      <c r="F42" s="27">
        <v>3.43</v>
      </c>
      <c r="G42" s="93">
        <v>179.3</v>
      </c>
      <c r="H42" s="25">
        <f t="shared" si="1"/>
        <v>116.78192972671499</v>
      </c>
      <c r="I42" s="33">
        <f>D42-Апрель!D42</f>
        <v>41.69</v>
      </c>
    </row>
    <row r="43" spans="1:9" ht="38.25">
      <c r="A43" s="51" t="s">
        <v>119</v>
      </c>
      <c r="B43" s="27">
        <v>17384.33</v>
      </c>
      <c r="C43" s="27">
        <v>7243.450000000001</v>
      </c>
      <c r="D43" s="27">
        <v>5797.1</v>
      </c>
      <c r="E43" s="27">
        <f t="shared" si="0"/>
        <v>33.346697859509106</v>
      </c>
      <c r="F43" s="27">
        <v>538.73</v>
      </c>
      <c r="G43" s="93">
        <v>5253.6</v>
      </c>
      <c r="H43" s="25">
        <f t="shared" si="1"/>
        <v>137.8759326937719</v>
      </c>
      <c r="I43" s="33">
        <f>D43-Апрель!D43</f>
        <v>1064.0600000000004</v>
      </c>
    </row>
    <row r="44" spans="1:9" ht="44.25" customHeight="1">
      <c r="A44" s="51" t="s">
        <v>147</v>
      </c>
      <c r="B44" s="27">
        <v>62.2</v>
      </c>
      <c r="C44" s="27">
        <v>25.9</v>
      </c>
      <c r="D44" s="27">
        <v>13.73</v>
      </c>
      <c r="E44" s="27">
        <f t="shared" si="0"/>
        <v>22.07395498392283</v>
      </c>
      <c r="F44" s="27"/>
      <c r="G44" s="93">
        <v>0</v>
      </c>
      <c r="H44" s="25" t="s">
        <v>148</v>
      </c>
      <c r="I44" s="33">
        <f>D44-Апрель!D44</f>
        <v>5.140000000000001</v>
      </c>
    </row>
    <row r="45" spans="1:9" ht="51">
      <c r="A45" s="51" t="s">
        <v>120</v>
      </c>
      <c r="B45" s="27">
        <v>1531</v>
      </c>
      <c r="C45" s="27">
        <v>1531</v>
      </c>
      <c r="D45" s="27">
        <v>1027.37</v>
      </c>
      <c r="E45" s="27">
        <f t="shared" si="0"/>
        <v>67.10450685826257</v>
      </c>
      <c r="F45" s="27">
        <v>0</v>
      </c>
      <c r="G45" s="93">
        <v>146.6</v>
      </c>
      <c r="H45" s="25" t="s">
        <v>148</v>
      </c>
      <c r="I45" s="33">
        <f>D45-Апрель!D45</f>
        <v>30.179999999999836</v>
      </c>
    </row>
    <row r="46" spans="1:9" ht="76.5">
      <c r="A46" s="51" t="s">
        <v>121</v>
      </c>
      <c r="B46" s="27">
        <v>3503.77</v>
      </c>
      <c r="C46" s="27">
        <v>1459.9</v>
      </c>
      <c r="D46" s="27">
        <v>1160.96</v>
      </c>
      <c r="E46" s="27">
        <f t="shared" si="0"/>
        <v>33.134595021933514</v>
      </c>
      <c r="F46" s="27">
        <v>236.15</v>
      </c>
      <c r="G46" s="78">
        <v>1136.1</v>
      </c>
      <c r="H46" s="25">
        <f t="shared" si="1"/>
        <v>128.5010122348385</v>
      </c>
      <c r="I46" s="33">
        <f>D46-Апрель!D46</f>
        <v>303.7900000000001</v>
      </c>
    </row>
    <row r="47" spans="1:9" ht="27" customHeight="1">
      <c r="A47" s="54" t="s">
        <v>13</v>
      </c>
      <c r="B47" s="33">
        <v>598.72</v>
      </c>
      <c r="C47" s="33">
        <v>238</v>
      </c>
      <c r="D47" s="33">
        <v>1691.96</v>
      </c>
      <c r="E47" s="33">
        <f t="shared" si="0"/>
        <v>282.5962052378407</v>
      </c>
      <c r="F47" s="33">
        <v>43.6</v>
      </c>
      <c r="G47" s="77">
        <v>406.9</v>
      </c>
      <c r="H47" s="33">
        <f t="shared" si="1"/>
        <v>58.49102973703613</v>
      </c>
      <c r="I47" s="33">
        <f>D47-Апрель!D47</f>
        <v>1205.6200000000001</v>
      </c>
    </row>
    <row r="48" spans="1:9" ht="25.5">
      <c r="A48" s="54" t="s">
        <v>96</v>
      </c>
      <c r="B48" s="33">
        <v>1290.36</v>
      </c>
      <c r="C48" s="33">
        <v>376.06</v>
      </c>
      <c r="D48" s="33">
        <v>640.81</v>
      </c>
      <c r="E48" s="33">
        <f t="shared" si="0"/>
        <v>49.66133482129018</v>
      </c>
      <c r="F48" s="33">
        <v>561.58</v>
      </c>
      <c r="G48" s="77">
        <v>3394.5</v>
      </c>
      <c r="H48" s="33">
        <f t="shared" si="1"/>
        <v>11.078509353365739</v>
      </c>
      <c r="I48" s="33">
        <f>D48-Апрель!D48</f>
        <v>176.80999999999995</v>
      </c>
    </row>
    <row r="49" spans="1:9" ht="25.5">
      <c r="A49" s="54" t="s">
        <v>14</v>
      </c>
      <c r="B49" s="33">
        <f>SUM(B50:B52)</f>
        <v>33900</v>
      </c>
      <c r="C49" s="33">
        <f>SUM(C50:C52)</f>
        <v>0</v>
      </c>
      <c r="D49" s="33">
        <f>SUM(D50:D52)</f>
        <v>1349.28</v>
      </c>
      <c r="E49" s="25">
        <f t="shared" si="0"/>
        <v>3.9801769911504423</v>
      </c>
      <c r="F49" s="25">
        <v>585.5</v>
      </c>
      <c r="G49" s="80">
        <v>742.7</v>
      </c>
      <c r="H49" s="25">
        <f t="shared" si="1"/>
        <v>0</v>
      </c>
      <c r="I49" s="33">
        <f>D49-Апрель!D49</f>
        <v>130.53999999999996</v>
      </c>
    </row>
    <row r="50" spans="1:9" ht="12.75">
      <c r="A50" s="51" t="s">
        <v>94</v>
      </c>
      <c r="B50" s="27">
        <v>0</v>
      </c>
      <c r="C50" s="27">
        <v>0</v>
      </c>
      <c r="D50" s="27">
        <v>0</v>
      </c>
      <c r="E50" s="25">
        <v>0</v>
      </c>
      <c r="F50" s="25">
        <v>0</v>
      </c>
      <c r="G50" s="78">
        <v>0</v>
      </c>
      <c r="H50" s="25" t="s">
        <v>148</v>
      </c>
      <c r="I50" s="33">
        <f>D50-Апрель!D50</f>
        <v>0</v>
      </c>
    </row>
    <row r="51" spans="1:9" ht="76.5">
      <c r="A51" s="51" t="s">
        <v>95</v>
      </c>
      <c r="B51" s="27">
        <v>32500</v>
      </c>
      <c r="C51" s="27">
        <v>0</v>
      </c>
      <c r="D51" s="27">
        <v>0</v>
      </c>
      <c r="E51" s="25">
        <f t="shared" si="0"/>
        <v>0</v>
      </c>
      <c r="F51" s="25">
        <v>37.14</v>
      </c>
      <c r="G51" s="97">
        <v>0</v>
      </c>
      <c r="H51" s="25" t="s">
        <v>148</v>
      </c>
      <c r="I51" s="33">
        <f>D51-Апрель!D51</f>
        <v>0</v>
      </c>
    </row>
    <row r="52" spans="1:9" ht="17.25" customHeight="1">
      <c r="A52" s="51" t="s">
        <v>93</v>
      </c>
      <c r="B52" s="27">
        <v>1400</v>
      </c>
      <c r="C52" s="27">
        <v>0</v>
      </c>
      <c r="D52" s="27">
        <v>1349.28</v>
      </c>
      <c r="E52" s="27">
        <f t="shared" si="0"/>
        <v>96.37714285714284</v>
      </c>
      <c r="F52" s="27">
        <v>548.36</v>
      </c>
      <c r="G52" s="78">
        <v>742.7</v>
      </c>
      <c r="H52" s="25">
        <f t="shared" si="1"/>
        <v>0</v>
      </c>
      <c r="I52" s="33">
        <f>D52-Апрель!D52</f>
        <v>130.53999999999996</v>
      </c>
    </row>
    <row r="53" spans="1:9" ht="12.75">
      <c r="A53" s="54" t="s">
        <v>15</v>
      </c>
      <c r="B53" s="33">
        <v>-1455.1</v>
      </c>
      <c r="C53" s="33">
        <v>-3726.9999999999995</v>
      </c>
      <c r="D53" s="33">
        <v>-3080.32</v>
      </c>
      <c r="E53" s="26">
        <f t="shared" si="0"/>
        <v>211.69129269466018</v>
      </c>
      <c r="F53" s="26">
        <v>179.73</v>
      </c>
      <c r="G53" s="77">
        <v>1461</v>
      </c>
      <c r="H53" s="25">
        <f t="shared" si="1"/>
        <v>-255.0992470910335</v>
      </c>
      <c r="I53" s="33">
        <f>D53-Апрель!D53</f>
        <v>196.60999999999967</v>
      </c>
    </row>
    <row r="54" spans="1:9" ht="63.75" hidden="1">
      <c r="A54" s="51" t="s">
        <v>126</v>
      </c>
      <c r="B54" s="33">
        <v>223.07</v>
      </c>
      <c r="C54" s="33">
        <v>20</v>
      </c>
      <c r="D54" s="33"/>
      <c r="E54" s="26">
        <f t="shared" si="0"/>
        <v>0</v>
      </c>
      <c r="F54" s="26"/>
      <c r="G54" s="77"/>
      <c r="H54" s="25" t="e">
        <f t="shared" si="1"/>
        <v>#DIV/0!</v>
      </c>
      <c r="I54" s="33">
        <f>D54-Апрель!D54</f>
        <v>0</v>
      </c>
    </row>
    <row r="55" spans="1:9" ht="89.25" hidden="1">
      <c r="A55" s="51" t="s">
        <v>127</v>
      </c>
      <c r="B55" s="33">
        <v>223.07</v>
      </c>
      <c r="C55" s="33">
        <v>20</v>
      </c>
      <c r="D55" s="33"/>
      <c r="E55" s="26">
        <f t="shared" si="0"/>
        <v>0</v>
      </c>
      <c r="F55" s="26"/>
      <c r="G55" s="77"/>
      <c r="H55" s="25" t="e">
        <f t="shared" si="1"/>
        <v>#DIV/0!</v>
      </c>
      <c r="I55" s="33">
        <f>D55-Апрель!D55</f>
        <v>0</v>
      </c>
    </row>
    <row r="56" spans="1:9" ht="63.75" hidden="1">
      <c r="A56" s="51" t="s">
        <v>128</v>
      </c>
      <c r="B56" s="33">
        <v>223.07</v>
      </c>
      <c r="C56" s="33">
        <v>20</v>
      </c>
      <c r="D56" s="33"/>
      <c r="E56" s="26">
        <f t="shared" si="0"/>
        <v>0</v>
      </c>
      <c r="F56" s="26"/>
      <c r="G56" s="77"/>
      <c r="H56" s="25" t="e">
        <f t="shared" si="1"/>
        <v>#DIV/0!</v>
      </c>
      <c r="I56" s="33">
        <f>D56-Апрель!D56</f>
        <v>0</v>
      </c>
    </row>
    <row r="57" spans="1:9" ht="29.25" customHeight="1" hidden="1">
      <c r="A57" s="51" t="s">
        <v>129</v>
      </c>
      <c r="B57" s="33">
        <v>223.07</v>
      </c>
      <c r="C57" s="33">
        <v>20</v>
      </c>
      <c r="D57" s="33"/>
      <c r="E57" s="26">
        <f t="shared" si="0"/>
        <v>0</v>
      </c>
      <c r="F57" s="26"/>
      <c r="G57" s="77"/>
      <c r="H57" s="25" t="e">
        <f t="shared" si="1"/>
        <v>#DIV/0!</v>
      </c>
      <c r="I57" s="33">
        <f>D57-Апрель!D57</f>
        <v>0</v>
      </c>
    </row>
    <row r="58" spans="1:9" ht="38.25" customHeight="1" hidden="1">
      <c r="A58" s="51" t="s">
        <v>130</v>
      </c>
      <c r="B58" s="33">
        <v>223.07</v>
      </c>
      <c r="C58" s="33">
        <v>20</v>
      </c>
      <c r="D58" s="33"/>
      <c r="E58" s="26">
        <f t="shared" si="0"/>
        <v>0</v>
      </c>
      <c r="F58" s="26"/>
      <c r="G58" s="77"/>
      <c r="H58" s="25" t="e">
        <f t="shared" si="1"/>
        <v>#DIV/0!</v>
      </c>
      <c r="I58" s="33">
        <f>D58-Апрель!D58</f>
        <v>0</v>
      </c>
    </row>
    <row r="59" spans="1:9" ht="43.5" customHeight="1" hidden="1">
      <c r="A59" s="51" t="s">
        <v>131</v>
      </c>
      <c r="B59" s="33">
        <v>223.07</v>
      </c>
      <c r="C59" s="33">
        <v>20</v>
      </c>
      <c r="D59" s="33"/>
      <c r="E59" s="26">
        <f t="shared" si="0"/>
        <v>0</v>
      </c>
      <c r="F59" s="26"/>
      <c r="G59" s="77"/>
      <c r="H59" s="25" t="e">
        <f t="shared" si="1"/>
        <v>#DIV/0!</v>
      </c>
      <c r="I59" s="33">
        <f>D59-Апрель!D59</f>
        <v>0</v>
      </c>
    </row>
    <row r="60" spans="1:9" ht="40.5" customHeight="1" hidden="1">
      <c r="A60" s="51" t="s">
        <v>132</v>
      </c>
      <c r="B60" s="33">
        <v>223.07</v>
      </c>
      <c r="C60" s="33">
        <v>20</v>
      </c>
      <c r="D60" s="33"/>
      <c r="E60" s="26">
        <f t="shared" si="0"/>
        <v>0</v>
      </c>
      <c r="F60" s="26"/>
      <c r="G60" s="77"/>
      <c r="H60" s="25" t="e">
        <f t="shared" si="1"/>
        <v>#DIV/0!</v>
      </c>
      <c r="I60" s="33">
        <f>D60-Апрель!D60</f>
        <v>0</v>
      </c>
    </row>
    <row r="61" spans="1:9" ht="51" hidden="1">
      <c r="A61" s="51" t="s">
        <v>133</v>
      </c>
      <c r="B61" s="33">
        <v>223.07</v>
      </c>
      <c r="C61" s="33">
        <v>20</v>
      </c>
      <c r="D61" s="33"/>
      <c r="E61" s="26">
        <f t="shared" si="0"/>
        <v>0</v>
      </c>
      <c r="F61" s="26"/>
      <c r="G61" s="80"/>
      <c r="H61" s="25" t="e">
        <f t="shared" si="1"/>
        <v>#DIV/0!</v>
      </c>
      <c r="I61" s="33">
        <f>D61-Апрель!D61</f>
        <v>0</v>
      </c>
    </row>
    <row r="62" spans="1:9" ht="76.5" hidden="1">
      <c r="A62" s="51" t="s">
        <v>134</v>
      </c>
      <c r="B62" s="33">
        <v>223.07</v>
      </c>
      <c r="C62" s="33">
        <v>20</v>
      </c>
      <c r="D62" s="33"/>
      <c r="E62" s="26">
        <f t="shared" si="0"/>
        <v>0</v>
      </c>
      <c r="F62" s="26"/>
      <c r="G62" s="80"/>
      <c r="H62" s="25" t="e">
        <f t="shared" si="1"/>
        <v>#DIV/0!</v>
      </c>
      <c r="I62" s="33">
        <f>D62-Апрель!D62</f>
        <v>0</v>
      </c>
    </row>
    <row r="63" spans="1:9" ht="12.75" hidden="1">
      <c r="A63" s="51" t="s">
        <v>135</v>
      </c>
      <c r="B63" s="33">
        <v>223.07</v>
      </c>
      <c r="C63" s="33">
        <v>20</v>
      </c>
      <c r="D63" s="33"/>
      <c r="E63" s="26">
        <f t="shared" si="0"/>
        <v>0</v>
      </c>
      <c r="F63" s="26"/>
      <c r="G63" s="100"/>
      <c r="H63" s="25" t="e">
        <f t="shared" si="1"/>
        <v>#DIV/0!</v>
      </c>
      <c r="I63" s="33">
        <f>D63-Апрель!D63</f>
        <v>0</v>
      </c>
    </row>
    <row r="64" spans="1:9" ht="12.75">
      <c r="A64" s="47" t="s">
        <v>16</v>
      </c>
      <c r="B64" s="33">
        <v>-1089.27</v>
      </c>
      <c r="C64" s="33">
        <v>-1095.7499999999998</v>
      </c>
      <c r="D64" s="33">
        <v>533.07</v>
      </c>
      <c r="E64" s="26">
        <f t="shared" si="0"/>
        <v>-48.938279765347446</v>
      </c>
      <c r="F64" s="26">
        <v>-38.79</v>
      </c>
      <c r="G64" s="77">
        <v>2.5</v>
      </c>
      <c r="H64" s="25" t="s">
        <v>148</v>
      </c>
      <c r="I64" s="33">
        <f>D64-Апрель!D64</f>
        <v>1497.3600000000001</v>
      </c>
    </row>
    <row r="65" spans="1:9" ht="12.75">
      <c r="A65" s="54" t="s">
        <v>17</v>
      </c>
      <c r="B65" s="26">
        <f>B64+B53+B49+B48+B47+B38+B30+B27+B22+B17+B8</f>
        <v>722378.1900000001</v>
      </c>
      <c r="C65" s="26">
        <f>C64+C53+C49+C48+C47+C38+C30+C27+C22+C17+C8</f>
        <v>236877.6</v>
      </c>
      <c r="D65" s="26">
        <f>D64+D53+D49+D48+D47+D38+D30+D27+D22+D17+D8+D37</f>
        <v>254177.27000000002</v>
      </c>
      <c r="E65" s="26">
        <f t="shared" si="0"/>
        <v>35.1861772017231</v>
      </c>
      <c r="F65" s="26">
        <v>27699.089999999997</v>
      </c>
      <c r="G65" s="77">
        <v>270956.5</v>
      </c>
      <c r="H65" s="25">
        <f t="shared" si="1"/>
        <v>87.42274128873085</v>
      </c>
      <c r="I65" s="33">
        <f>D65-Апрель!D65</f>
        <v>50919.29000000001</v>
      </c>
    </row>
    <row r="66" spans="1:9" ht="12.75">
      <c r="A66" s="54" t="s">
        <v>18</v>
      </c>
      <c r="B66" s="26">
        <f>B67+B72+B73</f>
        <v>3649907.2199999997</v>
      </c>
      <c r="C66" s="26">
        <f>C67+C72+C73</f>
        <v>1073589.3099999998</v>
      </c>
      <c r="D66" s="26">
        <f>D67+D72+D73</f>
        <v>1072219.4899999998</v>
      </c>
      <c r="E66" s="26">
        <f t="shared" si="0"/>
        <v>29.37662316797192</v>
      </c>
      <c r="F66" s="26">
        <v>43822.57000000001</v>
      </c>
      <c r="G66" s="78">
        <v>718366.7</v>
      </c>
      <c r="H66" s="25">
        <f t="shared" si="1"/>
        <v>149.44864649210493</v>
      </c>
      <c r="I66" s="33">
        <f>D66-Апрель!D66</f>
        <v>238805.48999999976</v>
      </c>
    </row>
    <row r="67" spans="1:9" ht="25.5">
      <c r="A67" s="54" t="s">
        <v>19</v>
      </c>
      <c r="B67" s="26">
        <f>SUM(B68:B71)</f>
        <v>3658287.4699999997</v>
      </c>
      <c r="C67" s="26">
        <f>SUM(C68:C71)</f>
        <v>1081969.5499999998</v>
      </c>
      <c r="D67" s="26">
        <f>SUM(D68:D71)</f>
        <v>1081969.5499999998</v>
      </c>
      <c r="E67" s="26">
        <f t="shared" si="0"/>
        <v>29.575848231522382</v>
      </c>
      <c r="F67" s="26">
        <v>46091.770000000004</v>
      </c>
      <c r="G67" s="78">
        <v>736739.6</v>
      </c>
      <c r="H67" s="25">
        <f t="shared" si="1"/>
        <v>146.85915484928458</v>
      </c>
      <c r="I67" s="33">
        <f>D67-Апрель!D67</f>
        <v>240175.2999999998</v>
      </c>
    </row>
    <row r="68" spans="1:9" ht="12.75">
      <c r="A68" s="51" t="s">
        <v>108</v>
      </c>
      <c r="B68" s="27">
        <v>578714.4</v>
      </c>
      <c r="C68" s="27">
        <v>289642.10000000003</v>
      </c>
      <c r="D68" s="27">
        <v>289642.1</v>
      </c>
      <c r="E68" s="25">
        <f t="shared" si="0"/>
        <v>50.049229810075566</v>
      </c>
      <c r="F68" s="25">
        <v>15902.8</v>
      </c>
      <c r="G68" s="78">
        <v>166802.3</v>
      </c>
      <c r="H68" s="25">
        <f t="shared" si="1"/>
        <v>173.64394855466625</v>
      </c>
      <c r="I68" s="33">
        <f>D68-Апрель!D68</f>
        <v>37050.399999999965</v>
      </c>
    </row>
    <row r="69" spans="1:9" ht="12.75" customHeight="1">
      <c r="A69" s="51" t="s">
        <v>109</v>
      </c>
      <c r="B69" s="27">
        <v>1711310.6</v>
      </c>
      <c r="C69" s="27">
        <v>258310.62999999998</v>
      </c>
      <c r="D69" s="27">
        <v>258310.63</v>
      </c>
      <c r="E69" s="25">
        <f t="shared" si="0"/>
        <v>15.094316017209266</v>
      </c>
      <c r="F69" s="25">
        <v>0</v>
      </c>
      <c r="G69" s="78">
        <v>140177.3</v>
      </c>
      <c r="H69" s="25">
        <f t="shared" si="1"/>
        <v>184.27422271651685</v>
      </c>
      <c r="I69" s="33">
        <f>D69-Апрель!D69</f>
        <v>44834.02000000002</v>
      </c>
    </row>
    <row r="70" spans="1:9" ht="18.75" customHeight="1">
      <c r="A70" s="51" t="s">
        <v>110</v>
      </c>
      <c r="B70" s="27">
        <v>1307163.63</v>
      </c>
      <c r="C70" s="27">
        <v>510170.67000000004</v>
      </c>
      <c r="D70" s="27">
        <v>510170.67</v>
      </c>
      <c r="E70" s="25">
        <f t="shared" si="0"/>
        <v>39.028829925447056</v>
      </c>
      <c r="F70" s="25">
        <v>30188.97</v>
      </c>
      <c r="G70" s="93">
        <v>414604.6</v>
      </c>
      <c r="H70" s="25">
        <f t="shared" si="1"/>
        <v>123.04992998148117</v>
      </c>
      <c r="I70" s="33">
        <f>D70-Апрель!D70</f>
        <v>148043.57999999996</v>
      </c>
    </row>
    <row r="71" spans="1:9" ht="12.75" customHeight="1">
      <c r="A71" s="2" t="s">
        <v>122</v>
      </c>
      <c r="B71" s="27">
        <v>61098.84</v>
      </c>
      <c r="C71" s="27">
        <v>23846.15</v>
      </c>
      <c r="D71" s="27">
        <v>23846.15</v>
      </c>
      <c r="E71" s="25">
        <f t="shared" si="0"/>
        <v>39.028809712262955</v>
      </c>
      <c r="F71" s="25">
        <v>0</v>
      </c>
      <c r="G71" s="97">
        <v>15155.4</v>
      </c>
      <c r="H71" s="25" t="s">
        <v>148</v>
      </c>
      <c r="I71" s="33">
        <f>D71-Апрель!D71</f>
        <v>10247.300000000001</v>
      </c>
    </row>
    <row r="72" spans="1:9" ht="12.75" customHeight="1">
      <c r="A72" s="54" t="s">
        <v>113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93">
        <v>0</v>
      </c>
      <c r="H72" s="25" t="s">
        <v>148</v>
      </c>
      <c r="I72" s="33">
        <f>D72-Апрель!D72</f>
        <v>0</v>
      </c>
    </row>
    <row r="73" spans="1:13" ht="25.5">
      <c r="A73" s="54" t="s">
        <v>21</v>
      </c>
      <c r="B73" s="27">
        <v>-8380.25</v>
      </c>
      <c r="C73" s="27">
        <v>-8380.239999999998</v>
      </c>
      <c r="D73" s="27">
        <v>-9750.06</v>
      </c>
      <c r="E73" s="26">
        <f t="shared" si="0"/>
        <v>116.34569374422003</v>
      </c>
      <c r="F73" s="26">
        <v>-2269.2</v>
      </c>
      <c r="G73" s="77">
        <v>-18372.9</v>
      </c>
      <c r="H73" s="25">
        <f t="shared" si="1"/>
        <v>45.611961094873415</v>
      </c>
      <c r="I73" s="33">
        <f>D73-Апрель!D73</f>
        <v>-1369.8099999999995</v>
      </c>
      <c r="K73" s="98"/>
      <c r="L73" s="98"/>
      <c r="M73" s="98"/>
    </row>
    <row r="74" spans="1:9" ht="12.75">
      <c r="A74" s="47" t="s">
        <v>20</v>
      </c>
      <c r="B74" s="26">
        <f>B65+B66</f>
        <v>4372285.41</v>
      </c>
      <c r="C74" s="26">
        <f>C65+C66</f>
        <v>1310466.91</v>
      </c>
      <c r="D74" s="26">
        <f>D65+D66</f>
        <v>1326396.7599999998</v>
      </c>
      <c r="E74" s="25">
        <f>D74/B74*100</f>
        <v>30.33646332799669</v>
      </c>
      <c r="F74" s="25">
        <v>71521.66</v>
      </c>
      <c r="G74" s="33">
        <v>989323.2</v>
      </c>
      <c r="H74" s="25">
        <f>C74/G74*100</f>
        <v>132.4609500717258</v>
      </c>
      <c r="I74" s="33">
        <f>D74-Апрель!D74</f>
        <v>289724.7799999998</v>
      </c>
    </row>
    <row r="75" spans="1:9" ht="12.75" hidden="1">
      <c r="A75" s="54"/>
      <c r="B75" s="61"/>
      <c r="C75" s="61"/>
      <c r="D75" s="61"/>
      <c r="E75" s="45"/>
      <c r="F75" s="45"/>
      <c r="G75" s="61"/>
      <c r="H75" s="45"/>
      <c r="I75" s="61"/>
    </row>
    <row r="76" spans="1:9" ht="12.75" hidden="1">
      <c r="A76" s="54"/>
      <c r="B76" s="56"/>
      <c r="C76" s="56"/>
      <c r="D76" s="56"/>
      <c r="E76" s="45"/>
      <c r="F76" s="45"/>
      <c r="G76" s="56"/>
      <c r="H76" s="45"/>
      <c r="I76" s="56"/>
    </row>
    <row r="77" spans="1:9" ht="12.75" hidden="1">
      <c r="A77" s="47"/>
      <c r="B77" s="57"/>
      <c r="C77" s="57"/>
      <c r="D77" s="57"/>
      <c r="E77" s="45"/>
      <c r="F77" s="45"/>
      <c r="G77" s="57"/>
      <c r="H77" s="45"/>
      <c r="I77" s="57"/>
    </row>
    <row r="78" spans="1:9" ht="12.75" hidden="1">
      <c r="A78" s="89"/>
      <c r="B78" s="33"/>
      <c r="C78" s="33"/>
      <c r="D78" s="33"/>
      <c r="E78" s="25"/>
      <c r="F78" s="25"/>
      <c r="G78" s="33"/>
      <c r="H78" s="25"/>
      <c r="I78" s="33"/>
    </row>
    <row r="79" spans="1:9" ht="12.75">
      <c r="A79" s="121" t="s">
        <v>22</v>
      </c>
      <c r="B79" s="121"/>
      <c r="C79" s="121"/>
      <c r="D79" s="121"/>
      <c r="E79" s="121"/>
      <c r="F79" s="121"/>
      <c r="G79" s="121"/>
      <c r="H79" s="121"/>
      <c r="I79" s="121"/>
    </row>
    <row r="80" spans="1:9" ht="12.75">
      <c r="A80" s="7" t="s">
        <v>23</v>
      </c>
      <c r="B80" s="33">
        <f>B81+B82+B83+B84+B85+B86+B87+B88</f>
        <v>635441.5</v>
      </c>
      <c r="C80" s="33">
        <f>C81+C82+C83+C84+C85+C86+C87+C88</f>
        <v>134870.44</v>
      </c>
      <c r="D80" s="33">
        <f>D81+D82+D83+D84+D85+D86+D87+D88</f>
        <v>131331.84</v>
      </c>
      <c r="E80" s="25">
        <f>$D:$D/$B:$B*100</f>
        <v>20.667809703961733</v>
      </c>
      <c r="F80" s="25">
        <f>$D:$D/$C:$C*100</f>
        <v>97.37629683717202</v>
      </c>
      <c r="G80" s="80">
        <f>G81+G82+G83+G84+G85+G86+G87+G88</f>
        <v>51038.9</v>
      </c>
      <c r="H80" s="25">
        <f>$D:$D/$G:$G*100</f>
        <v>257.317144374193</v>
      </c>
      <c r="I80" s="33">
        <f>D80-Апрель!D80</f>
        <v>37084.58</v>
      </c>
    </row>
    <row r="81" spans="1:9" ht="14.25" customHeight="1">
      <c r="A81" s="8" t="s">
        <v>24</v>
      </c>
      <c r="B81" s="27">
        <v>3197.2</v>
      </c>
      <c r="C81" s="27">
        <v>1432.6</v>
      </c>
      <c r="D81" s="27">
        <v>1272.6</v>
      </c>
      <c r="E81" s="28">
        <f>$D:$D/$B:$B*100</f>
        <v>39.8035781308645</v>
      </c>
      <c r="F81" s="28">
        <v>0</v>
      </c>
      <c r="G81" s="66">
        <v>847.6</v>
      </c>
      <c r="H81" s="28">
        <v>0</v>
      </c>
      <c r="I81" s="33">
        <f>D81-Апрель!D81</f>
        <v>109.73000000000002</v>
      </c>
    </row>
    <row r="82" spans="1:9" ht="12.75">
      <c r="A82" s="8" t="s">
        <v>25</v>
      </c>
      <c r="B82" s="27">
        <v>7698.8</v>
      </c>
      <c r="C82" s="27">
        <v>2948.1</v>
      </c>
      <c r="D82" s="27">
        <v>2641.8</v>
      </c>
      <c r="E82" s="28">
        <f>$D:$D/$B:$B*100</f>
        <v>34.31443861380995</v>
      </c>
      <c r="F82" s="28">
        <f>$D:$D/$C:$C*100</f>
        <v>89.6102574539534</v>
      </c>
      <c r="G82" s="66">
        <v>2370.6</v>
      </c>
      <c r="H82" s="28">
        <f>$D:$D/$G:$G*100</f>
        <v>111.44014173626931</v>
      </c>
      <c r="I82" s="33">
        <f>D82-Апрель!D82</f>
        <v>306.8900000000003</v>
      </c>
    </row>
    <row r="83" spans="1:9" ht="25.5">
      <c r="A83" s="8" t="s">
        <v>26</v>
      </c>
      <c r="B83" s="27">
        <v>70545.8</v>
      </c>
      <c r="C83" s="27">
        <v>28364.9</v>
      </c>
      <c r="D83" s="27">
        <v>26084.8</v>
      </c>
      <c r="E83" s="28">
        <f>$D:$D/$B:$B*100</f>
        <v>36.97569522211102</v>
      </c>
      <c r="F83" s="28">
        <f>$D:$D/$C:$C*100</f>
        <v>91.96154402095547</v>
      </c>
      <c r="G83" s="66">
        <v>22339.9</v>
      </c>
      <c r="H83" s="28">
        <f>$D:$D/$G:$G*100</f>
        <v>116.76328005049261</v>
      </c>
      <c r="I83" s="33">
        <f>D83-Апрель!D83</f>
        <v>3618.380000000001</v>
      </c>
    </row>
    <row r="84" spans="1:9" ht="12.75">
      <c r="A84" s="8" t="s">
        <v>72</v>
      </c>
      <c r="B84" s="27">
        <v>4</v>
      </c>
      <c r="C84" s="27">
        <v>3.84</v>
      </c>
      <c r="D84" s="27">
        <v>3.84</v>
      </c>
      <c r="E84" s="28">
        <v>0</v>
      </c>
      <c r="F84" s="28">
        <v>0</v>
      </c>
      <c r="G84" s="66">
        <v>170</v>
      </c>
      <c r="H84" s="28">
        <v>0</v>
      </c>
      <c r="I84" s="33">
        <f>D84-Апрель!D84</f>
        <v>0</v>
      </c>
    </row>
    <row r="85" spans="1:9" ht="25.5">
      <c r="A85" s="1" t="s">
        <v>27</v>
      </c>
      <c r="B85" s="27">
        <v>18122.5</v>
      </c>
      <c r="C85" s="27">
        <v>6879.7</v>
      </c>
      <c r="D85" s="27">
        <v>6271.8</v>
      </c>
      <c r="E85" s="28">
        <f>$D:$D/$B:$B*100</f>
        <v>34.60780797351359</v>
      </c>
      <c r="F85" s="28">
        <v>0</v>
      </c>
      <c r="G85" s="66">
        <v>6011.2</v>
      </c>
      <c r="H85" s="28">
        <f>$D:$D/$G:$G*100</f>
        <v>104.3352408836838</v>
      </c>
      <c r="I85" s="33">
        <f>D85-Апрель!D85</f>
        <v>1008.75</v>
      </c>
    </row>
    <row r="86" spans="1:9" ht="12.75" hidden="1">
      <c r="A86" s="8" t="s">
        <v>28</v>
      </c>
      <c r="B86" s="27">
        <v>0</v>
      </c>
      <c r="C86" s="27">
        <v>0</v>
      </c>
      <c r="D86" s="27">
        <v>0</v>
      </c>
      <c r="E86" s="28">
        <v>0</v>
      </c>
      <c r="F86" s="28">
        <v>0</v>
      </c>
      <c r="G86" s="66">
        <v>0</v>
      </c>
      <c r="H86" s="28">
        <v>0</v>
      </c>
      <c r="I86" s="33">
        <f>D86-Апрель!D86</f>
        <v>0</v>
      </c>
    </row>
    <row r="87" spans="1:9" ht="12.75">
      <c r="A87" s="8" t="s">
        <v>29</v>
      </c>
      <c r="B87" s="27">
        <v>27541.6</v>
      </c>
      <c r="C87" s="27">
        <v>0</v>
      </c>
      <c r="D87" s="27">
        <v>0</v>
      </c>
      <c r="E87" s="28">
        <f>$D:$D/$B:$B*100</f>
        <v>0</v>
      </c>
      <c r="F87" s="28">
        <v>0</v>
      </c>
      <c r="G87" s="66">
        <v>0</v>
      </c>
      <c r="H87" s="28">
        <v>0</v>
      </c>
      <c r="I87" s="33">
        <f>D87-Апрель!D87</f>
        <v>0</v>
      </c>
    </row>
    <row r="88" spans="1:9" ht="12.75">
      <c r="A88" s="1" t="s">
        <v>30</v>
      </c>
      <c r="B88" s="27">
        <v>508331.6</v>
      </c>
      <c r="C88" s="27">
        <v>95241.3</v>
      </c>
      <c r="D88" s="27">
        <v>95057</v>
      </c>
      <c r="E88" s="28">
        <f>$D:$D/$B:$B*100</f>
        <v>18.699801468175497</v>
      </c>
      <c r="F88" s="28">
        <f>$D:$D/$C:$C*100</f>
        <v>99.80649151156064</v>
      </c>
      <c r="G88" s="66">
        <v>19299.6</v>
      </c>
      <c r="H88" s="28">
        <f>$D:$D/$G:$G*100</f>
        <v>492.5335240108604</v>
      </c>
      <c r="I88" s="33">
        <f>D88-Апрель!D88</f>
        <v>32040.83</v>
      </c>
    </row>
    <row r="89" spans="1:9" ht="12.75">
      <c r="A89" s="7" t="s">
        <v>31</v>
      </c>
      <c r="B89" s="26">
        <v>527.7</v>
      </c>
      <c r="C89" s="26">
        <v>243.8</v>
      </c>
      <c r="D89" s="26">
        <v>243.8</v>
      </c>
      <c r="E89" s="25">
        <f>$D:$D/$B:$B*100</f>
        <v>46.20049270418799</v>
      </c>
      <c r="F89" s="25">
        <f>$D:$D/$C:$C*100</f>
        <v>100</v>
      </c>
      <c r="G89" s="102">
        <v>136.4</v>
      </c>
      <c r="H89" s="25">
        <v>0</v>
      </c>
      <c r="I89" s="33">
        <f>D89-Апрель!D89</f>
        <v>16.960000000000008</v>
      </c>
    </row>
    <row r="90" spans="1:9" ht="25.5">
      <c r="A90" s="9" t="s">
        <v>32</v>
      </c>
      <c r="B90" s="26">
        <v>11961.3</v>
      </c>
      <c r="C90" s="26">
        <v>5144.9</v>
      </c>
      <c r="D90" s="26">
        <v>5006.5</v>
      </c>
      <c r="E90" s="25">
        <f>$D:$D/$B:$B*100</f>
        <v>41.855818347504034</v>
      </c>
      <c r="F90" s="25">
        <f>$D:$D/$C:$C*100</f>
        <v>97.309957433575</v>
      </c>
      <c r="G90" s="102">
        <v>2109</v>
      </c>
      <c r="H90" s="25">
        <f>$D:$D/$G:$G*100</f>
        <v>237.38738738738738</v>
      </c>
      <c r="I90" s="33">
        <f>D90-Апрель!D90</f>
        <v>591.2700000000004</v>
      </c>
    </row>
    <row r="91" spans="1:9" ht="12.75">
      <c r="A91" s="7" t="s">
        <v>33</v>
      </c>
      <c r="B91" s="33">
        <f aca="true" t="shared" si="2" ref="B91:H91">B92+B93+B94+B95</f>
        <v>593033.2000000001</v>
      </c>
      <c r="C91" s="33">
        <f t="shared" si="2"/>
        <v>55477.1</v>
      </c>
      <c r="D91" s="33">
        <f t="shared" si="2"/>
        <v>54690.5</v>
      </c>
      <c r="E91" s="33">
        <f t="shared" si="2"/>
        <v>59.858655626114086</v>
      </c>
      <c r="F91" s="33">
        <f t="shared" si="2"/>
        <v>190.47630578492385</v>
      </c>
      <c r="G91" s="80">
        <f>G92+G93+G94+G95+G96</f>
        <v>23826.9</v>
      </c>
      <c r="H91" s="33">
        <f t="shared" si="2"/>
        <v>72.32185198447645</v>
      </c>
      <c r="I91" s="33">
        <f>D91-Апрель!D91</f>
        <v>11110.75</v>
      </c>
    </row>
    <row r="92" spans="1:9" ht="12.75" customHeight="1">
      <c r="A92" s="10" t="s">
        <v>64</v>
      </c>
      <c r="B92" s="27">
        <v>13452.3</v>
      </c>
      <c r="C92" s="27">
        <v>16.5</v>
      </c>
      <c r="D92" s="27">
        <v>16.5</v>
      </c>
      <c r="E92" s="28">
        <v>0</v>
      </c>
      <c r="F92" s="28">
        <v>0</v>
      </c>
      <c r="G92" s="93"/>
      <c r="H92" s="28">
        <v>0</v>
      </c>
      <c r="I92" s="33">
        <f>D92-Апрель!D92</f>
        <v>-0.030000000000001137</v>
      </c>
    </row>
    <row r="93" spans="1:9" ht="12.75">
      <c r="A93" s="10" t="s">
        <v>67</v>
      </c>
      <c r="B93" s="27">
        <v>29101</v>
      </c>
      <c r="C93" s="27">
        <v>9531</v>
      </c>
      <c r="D93" s="27">
        <v>9531</v>
      </c>
      <c r="E93" s="28">
        <f>$D:$D/$B:$B*100</f>
        <v>32.75145184014295</v>
      </c>
      <c r="F93" s="28">
        <v>0</v>
      </c>
      <c r="G93" s="66">
        <v>0</v>
      </c>
      <c r="H93" s="28">
        <v>0</v>
      </c>
      <c r="I93" s="33">
        <f>D93-Апрель!D93</f>
        <v>2382.74</v>
      </c>
    </row>
    <row r="94" spans="1:9" ht="12.75">
      <c r="A94" s="8" t="s">
        <v>34</v>
      </c>
      <c r="B94" s="27">
        <v>512660.6</v>
      </c>
      <c r="C94" s="27">
        <v>37670.2</v>
      </c>
      <c r="D94" s="27">
        <v>37670.2</v>
      </c>
      <c r="E94" s="28">
        <f>$D:$D/$B:$B*100</f>
        <v>7.347980320703405</v>
      </c>
      <c r="F94" s="28">
        <f>$D:$D/$C:$C*100</f>
        <v>100</v>
      </c>
      <c r="G94" s="66">
        <v>9163.3</v>
      </c>
      <c r="H94" s="28">
        <v>0</v>
      </c>
      <c r="I94" s="33">
        <f>D94-Апрель!D94</f>
        <v>5615.919999999998</v>
      </c>
    </row>
    <row r="95" spans="1:9" ht="12.75">
      <c r="A95" s="10" t="s">
        <v>77</v>
      </c>
      <c r="B95" s="27">
        <v>37819.3</v>
      </c>
      <c r="C95" s="27">
        <v>8259.4</v>
      </c>
      <c r="D95" s="27">
        <v>7472.8</v>
      </c>
      <c r="E95" s="28">
        <f>$D:$D/$B:$B*100</f>
        <v>19.759223465267734</v>
      </c>
      <c r="F95" s="28">
        <f>$D:$D/$C:$C*100</f>
        <v>90.47630578492385</v>
      </c>
      <c r="G95" s="66">
        <v>10332.7</v>
      </c>
      <c r="H95" s="28">
        <f>$D:$D/$G:$G*100</f>
        <v>72.32185198447645</v>
      </c>
      <c r="I95" s="33">
        <f>D95-Апрель!D95</f>
        <v>3112.12</v>
      </c>
    </row>
    <row r="96" spans="1:9" ht="12.75">
      <c r="A96" s="8" t="s">
        <v>35</v>
      </c>
      <c r="B96" s="27"/>
      <c r="C96" s="27"/>
      <c r="D96" s="27"/>
      <c r="E96" s="28"/>
      <c r="F96" s="28"/>
      <c r="G96" s="66">
        <v>4330.9</v>
      </c>
      <c r="H96" s="28"/>
      <c r="I96" s="33"/>
    </row>
    <row r="97" spans="1:9" ht="12.75">
      <c r="A97" s="7" t="s">
        <v>36</v>
      </c>
      <c r="B97" s="33">
        <f>B99+B100+B101+B98</f>
        <v>495382.9</v>
      </c>
      <c r="C97" s="26">
        <f>C99+C100+C101+C98</f>
        <v>61653.7</v>
      </c>
      <c r="D97" s="33">
        <f>D99+D100+D101+D98</f>
        <v>60493.2</v>
      </c>
      <c r="E97" s="33">
        <f>E100+E101+E98</f>
        <v>30.811833377938434</v>
      </c>
      <c r="F97" s="25">
        <f>$D:$D/$C:$C*100</f>
        <v>98.11771231896869</v>
      </c>
      <c r="G97" s="80">
        <f>G99+G100+G101+G98</f>
        <v>41653.4</v>
      </c>
      <c r="H97" s="28">
        <f>$D:$D/$G:$G*100</f>
        <v>145.22992120691228</v>
      </c>
      <c r="I97" s="33">
        <f>D97-Апрель!D96</f>
        <v>16918.819999999992</v>
      </c>
    </row>
    <row r="98" spans="1:9" ht="12.75">
      <c r="A98" s="8" t="s">
        <v>37</v>
      </c>
      <c r="B98" s="27">
        <v>87067</v>
      </c>
      <c r="C98" s="27">
        <v>5630</v>
      </c>
      <c r="D98" s="27">
        <v>5630</v>
      </c>
      <c r="E98" s="43">
        <v>0</v>
      </c>
      <c r="F98" s="28">
        <v>0</v>
      </c>
      <c r="G98" s="66">
        <v>0</v>
      </c>
      <c r="H98" s="28">
        <v>0</v>
      </c>
      <c r="I98" s="33">
        <f>D98-Апрель!D97</f>
        <v>79.97999999999956</v>
      </c>
    </row>
    <row r="99" spans="1:9" ht="12.75">
      <c r="A99" s="8" t="s">
        <v>38</v>
      </c>
      <c r="B99" s="27">
        <v>3889.7</v>
      </c>
      <c r="C99" s="27">
        <v>52.6</v>
      </c>
      <c r="D99" s="27">
        <v>52.6</v>
      </c>
      <c r="E99" s="28">
        <f aca="true" t="shared" si="3" ref="E99:E104">$D:$D/$B:$B*100</f>
        <v>1.3522893796436743</v>
      </c>
      <c r="F99" s="28">
        <v>0</v>
      </c>
      <c r="G99" s="66">
        <v>123.2</v>
      </c>
      <c r="H99" s="28">
        <v>0</v>
      </c>
      <c r="I99" s="33">
        <f>D99-Апрель!D98</f>
        <v>52.6</v>
      </c>
    </row>
    <row r="100" spans="1:9" ht="12.75">
      <c r="A100" s="8" t="s">
        <v>39</v>
      </c>
      <c r="B100" s="27">
        <v>296050.3</v>
      </c>
      <c r="C100" s="27">
        <v>33786.3</v>
      </c>
      <c r="D100" s="27">
        <v>33786.2</v>
      </c>
      <c r="E100" s="28">
        <f t="shared" si="3"/>
        <v>11.412317433895524</v>
      </c>
      <c r="F100" s="28">
        <f>$D:$D/$C:$C*100</f>
        <v>99.99970402204443</v>
      </c>
      <c r="G100" s="66">
        <v>14461.6</v>
      </c>
      <c r="H100" s="28">
        <v>0</v>
      </c>
      <c r="I100" s="33">
        <f>D100-Апрель!D99</f>
        <v>4887.829999999998</v>
      </c>
    </row>
    <row r="101" spans="1:9" ht="12.75">
      <c r="A101" s="8" t="s">
        <v>40</v>
      </c>
      <c r="B101" s="27">
        <v>108375.9</v>
      </c>
      <c r="C101" s="27">
        <v>22184.8</v>
      </c>
      <c r="D101" s="27">
        <v>21024.4</v>
      </c>
      <c r="E101" s="28">
        <f t="shared" si="3"/>
        <v>19.39951594404291</v>
      </c>
      <c r="F101" s="28">
        <f>$D:$D/$C:$C*100</f>
        <v>94.76939165554795</v>
      </c>
      <c r="G101" s="66">
        <v>27068.6</v>
      </c>
      <c r="H101" s="28">
        <f>$D:$D/$G:$G*100</f>
        <v>77.67080676503404</v>
      </c>
      <c r="I101" s="33">
        <f>D101-Апрель!D100</f>
        <v>11898.410000000002</v>
      </c>
    </row>
    <row r="102" spans="1:9" ht="12.75">
      <c r="A102" s="11" t="s">
        <v>115</v>
      </c>
      <c r="B102" s="33">
        <f>B103+B104</f>
        <v>14100.3</v>
      </c>
      <c r="C102" s="33">
        <f>C103+C104</f>
        <v>1066.8</v>
      </c>
      <c r="D102" s="33">
        <f>D103+D104</f>
        <v>1066.8</v>
      </c>
      <c r="E102" s="25">
        <f t="shared" si="3"/>
        <v>7.56579647241548</v>
      </c>
      <c r="F102" s="25"/>
      <c r="G102" s="80">
        <f>G103+G104</f>
        <v>409.8</v>
      </c>
      <c r="H102" s="25">
        <f>$D:$D/$G:$G*100</f>
        <v>260.3221083455344</v>
      </c>
      <c r="I102" s="33">
        <f>D102-Апрель!D101</f>
        <v>74.79999999999995</v>
      </c>
    </row>
    <row r="103" spans="1:9" ht="25.5">
      <c r="A103" s="39" t="s">
        <v>143</v>
      </c>
      <c r="B103" s="27">
        <v>2094</v>
      </c>
      <c r="C103" s="27">
        <v>1066.8</v>
      </c>
      <c r="D103" s="27">
        <v>1066.8</v>
      </c>
      <c r="E103" s="28">
        <f t="shared" si="3"/>
        <v>50.94555873925501</v>
      </c>
      <c r="F103" s="28"/>
      <c r="G103" s="66">
        <v>409.8</v>
      </c>
      <c r="H103" s="28">
        <v>0</v>
      </c>
      <c r="I103" s="33">
        <f>D103-Апрель!D102</f>
        <v>74.79999999999995</v>
      </c>
    </row>
    <row r="104" spans="1:9" ht="25.5">
      <c r="A104" s="8" t="s">
        <v>165</v>
      </c>
      <c r="B104" s="27">
        <v>12006.3</v>
      </c>
      <c r="C104" s="27">
        <v>0</v>
      </c>
      <c r="D104" s="27">
        <v>0</v>
      </c>
      <c r="E104" s="28">
        <f t="shared" si="3"/>
        <v>0</v>
      </c>
      <c r="F104" s="28"/>
      <c r="G104" s="66">
        <v>0</v>
      </c>
      <c r="H104" s="28">
        <v>0</v>
      </c>
      <c r="I104" s="33">
        <f>D104-Апрель!D103</f>
        <v>0</v>
      </c>
    </row>
    <row r="105" spans="1:9" ht="12.75">
      <c r="A105" s="11" t="s">
        <v>41</v>
      </c>
      <c r="B105" s="33">
        <f>B106+B107+B109+B110+B111+B108</f>
        <v>1914794.7600000002</v>
      </c>
      <c r="C105" s="33">
        <f>C106+C107+C109+C110+C111+C108</f>
        <v>753886.0999999999</v>
      </c>
      <c r="D105" s="33">
        <f>D106+D107+D109+D110+D111+D108</f>
        <v>753145.2999999999</v>
      </c>
      <c r="E105" s="33">
        <f>E106+E107+E110+E111+E109</f>
        <v>157.42093425557985</v>
      </c>
      <c r="F105" s="33">
        <f>F106+F107+F110+F111+F109</f>
        <v>499.5939687732241</v>
      </c>
      <c r="G105" s="80">
        <f>G106+G107+G109+G110+G111+G108</f>
        <v>637975.7000000001</v>
      </c>
      <c r="H105" s="33">
        <f>H106+H107+H110+H111+H109</f>
        <v>426.1038545828191</v>
      </c>
      <c r="I105" s="33">
        <f>D105-Апрель!D104</f>
        <v>213157.93999999983</v>
      </c>
    </row>
    <row r="106" spans="1:9" ht="12.75">
      <c r="A106" s="8" t="s">
        <v>42</v>
      </c>
      <c r="B106" s="27">
        <v>727750.4</v>
      </c>
      <c r="C106" s="27">
        <v>307341.8</v>
      </c>
      <c r="D106" s="27">
        <v>307341.8</v>
      </c>
      <c r="E106" s="28">
        <f aca="true" t="shared" si="4" ref="E106:E116">$D:$D/$B:$B*100</f>
        <v>42.231759680242014</v>
      </c>
      <c r="F106" s="28">
        <f aca="true" t="shared" si="5" ref="F106:F114">$D:$D/$C:$C*100</f>
        <v>100</v>
      </c>
      <c r="G106" s="66">
        <v>255680.9</v>
      </c>
      <c r="H106" s="28">
        <f>$D:$D/$G:$G*100</f>
        <v>120.20522455920641</v>
      </c>
      <c r="I106" s="33">
        <f>D106-Апрель!D105</f>
        <v>91236.06999999998</v>
      </c>
    </row>
    <row r="107" spans="1:9" ht="12.75">
      <c r="A107" s="8" t="s">
        <v>43</v>
      </c>
      <c r="B107" s="27">
        <v>783610.2</v>
      </c>
      <c r="C107" s="27">
        <v>307476.8</v>
      </c>
      <c r="D107" s="27">
        <v>306902.5</v>
      </c>
      <c r="E107" s="28">
        <f t="shared" si="4"/>
        <v>39.1651997383393</v>
      </c>
      <c r="F107" s="28">
        <f t="shared" si="5"/>
        <v>99.813221680465</v>
      </c>
      <c r="G107" s="66">
        <v>255535.7</v>
      </c>
      <c r="H107" s="28">
        <f>$D:$D/$G:$G*100</f>
        <v>120.10161398192112</v>
      </c>
      <c r="I107" s="33">
        <f>D107-Апрель!D106</f>
        <v>86131.82999999999</v>
      </c>
    </row>
    <row r="108" spans="1:9" ht="12.75">
      <c r="A108" s="21" t="s">
        <v>105</v>
      </c>
      <c r="B108" s="27">
        <v>152342.3</v>
      </c>
      <c r="C108" s="27">
        <v>56427.9</v>
      </c>
      <c r="D108" s="27">
        <v>56427.9</v>
      </c>
      <c r="E108" s="28">
        <f t="shared" si="4"/>
        <v>37.040204854462615</v>
      </c>
      <c r="F108" s="28">
        <f t="shared" si="5"/>
        <v>100</v>
      </c>
      <c r="G108" s="66">
        <v>52886.3</v>
      </c>
      <c r="H108" s="28">
        <f>$D:$D/$G:$G*100</f>
        <v>106.69663031824876</v>
      </c>
      <c r="I108" s="33">
        <f>D108-Апрель!D107</f>
        <v>15773.779999999999</v>
      </c>
    </row>
    <row r="109" spans="1:9" ht="25.5">
      <c r="A109" s="8" t="s">
        <v>123</v>
      </c>
      <c r="B109" s="27">
        <v>374.76</v>
      </c>
      <c r="C109" s="27">
        <v>57.2</v>
      </c>
      <c r="D109" s="27">
        <v>57.2</v>
      </c>
      <c r="E109" s="28">
        <f t="shared" si="4"/>
        <v>15.26310171843313</v>
      </c>
      <c r="F109" s="28">
        <f t="shared" si="5"/>
        <v>100</v>
      </c>
      <c r="G109" s="66">
        <v>196.4</v>
      </c>
      <c r="H109" s="28">
        <v>0</v>
      </c>
      <c r="I109" s="33">
        <f>D109-Апрель!D108</f>
        <v>6</v>
      </c>
    </row>
    <row r="110" spans="1:9" ht="12.75">
      <c r="A110" s="8" t="s">
        <v>44</v>
      </c>
      <c r="B110" s="27">
        <v>24342.6</v>
      </c>
      <c r="C110" s="27">
        <v>6642.7</v>
      </c>
      <c r="D110" s="27">
        <v>6642.7</v>
      </c>
      <c r="E110" s="28">
        <f t="shared" si="4"/>
        <v>27.28837511194367</v>
      </c>
      <c r="F110" s="28">
        <f t="shared" si="5"/>
        <v>100</v>
      </c>
      <c r="G110" s="66">
        <v>9922.8</v>
      </c>
      <c r="H110" s="28">
        <f>$D:$D/$G:$G*100</f>
        <v>66.94380618373846</v>
      </c>
      <c r="I110" s="33">
        <f>D110-Апрель!D109</f>
        <v>1778.7699999999995</v>
      </c>
    </row>
    <row r="111" spans="1:9" ht="12.75">
      <c r="A111" s="8" t="s">
        <v>45</v>
      </c>
      <c r="B111" s="27">
        <v>226374.5</v>
      </c>
      <c r="C111" s="27">
        <v>75939.7</v>
      </c>
      <c r="D111" s="27">
        <v>75773.2</v>
      </c>
      <c r="E111" s="28">
        <f t="shared" si="4"/>
        <v>33.47249800662177</v>
      </c>
      <c r="F111" s="28">
        <f t="shared" si="5"/>
        <v>99.78074709275913</v>
      </c>
      <c r="G111" s="66">
        <v>63753.6</v>
      </c>
      <c r="H111" s="28">
        <f>$D:$D/$G:$G*100</f>
        <v>118.85320985795312</v>
      </c>
      <c r="I111" s="33">
        <f>D111-Апрель!D110</f>
        <v>18231.489999999998</v>
      </c>
    </row>
    <row r="112" spans="1:9" ht="25.5">
      <c r="A112" s="11" t="s">
        <v>46</v>
      </c>
      <c r="B112" s="33">
        <f>B113+B114</f>
        <v>346883.80000000005</v>
      </c>
      <c r="C112" s="33">
        <f>C113+C114</f>
        <v>98752.7</v>
      </c>
      <c r="D112" s="33">
        <f>D113+D114</f>
        <v>98741</v>
      </c>
      <c r="E112" s="25">
        <f t="shared" si="4"/>
        <v>28.465151730925452</v>
      </c>
      <c r="F112" s="25">
        <f t="shared" si="5"/>
        <v>99.9881522226734</v>
      </c>
      <c r="G112" s="80">
        <f>G113+G114</f>
        <v>57681.6</v>
      </c>
      <c r="H112" s="25">
        <f>$D:$D/$G:$G*100</f>
        <v>171.18283820143685</v>
      </c>
      <c r="I112" s="33">
        <f>D112-Апрель!D111</f>
        <v>22206.259999999995</v>
      </c>
    </row>
    <row r="113" spans="1:9" ht="12.75">
      <c r="A113" s="8" t="s">
        <v>47</v>
      </c>
      <c r="B113" s="27">
        <v>221274.2</v>
      </c>
      <c r="C113" s="27">
        <v>75737</v>
      </c>
      <c r="D113" s="27">
        <v>75737</v>
      </c>
      <c r="E113" s="28">
        <f t="shared" si="4"/>
        <v>34.22766865725873</v>
      </c>
      <c r="F113" s="28">
        <f t="shared" si="5"/>
        <v>100</v>
      </c>
      <c r="G113" s="66">
        <v>56479.1</v>
      </c>
      <c r="H113" s="28">
        <f>$D:$D/$G:$G*100</f>
        <v>134.09739177855172</v>
      </c>
      <c r="I113" s="33">
        <f>D113-Апрель!D112</f>
        <v>17705.92</v>
      </c>
    </row>
    <row r="114" spans="1:9" ht="25.5">
      <c r="A114" s="8" t="s">
        <v>48</v>
      </c>
      <c r="B114" s="27">
        <v>125609.6</v>
      </c>
      <c r="C114" s="27">
        <v>23015.7</v>
      </c>
      <c r="D114" s="27">
        <v>23004</v>
      </c>
      <c r="E114" s="28">
        <f t="shared" si="4"/>
        <v>18.313886836674904</v>
      </c>
      <c r="F114" s="28">
        <f t="shared" si="5"/>
        <v>99.94916513510343</v>
      </c>
      <c r="G114" s="66">
        <v>1202.5</v>
      </c>
      <c r="H114" s="28">
        <v>0</v>
      </c>
      <c r="I114" s="33">
        <f>D114-Апрель!D113</f>
        <v>4500.34</v>
      </c>
    </row>
    <row r="115" spans="1:9" ht="12.75">
      <c r="A115" s="11" t="s">
        <v>97</v>
      </c>
      <c r="B115" s="33">
        <f>B116</f>
        <v>163.45</v>
      </c>
      <c r="C115" s="33">
        <f>C116</f>
        <v>127</v>
      </c>
      <c r="D115" s="33">
        <f>D116</f>
        <v>127</v>
      </c>
      <c r="E115" s="25">
        <f t="shared" si="4"/>
        <v>77.69960232487</v>
      </c>
      <c r="F115" s="25">
        <v>0</v>
      </c>
      <c r="G115" s="80">
        <f>G116</f>
        <v>158.1</v>
      </c>
      <c r="H115" s="25">
        <v>0</v>
      </c>
      <c r="I115" s="33">
        <f>D115-Апрель!D114</f>
        <v>127</v>
      </c>
    </row>
    <row r="116" spans="1:9" ht="12.75">
      <c r="A116" s="8" t="s">
        <v>98</v>
      </c>
      <c r="B116" s="27">
        <v>163.45</v>
      </c>
      <c r="C116" s="27">
        <v>127</v>
      </c>
      <c r="D116" s="27">
        <v>127</v>
      </c>
      <c r="E116" s="28">
        <f t="shared" si="4"/>
        <v>77.69960232487</v>
      </c>
      <c r="F116" s="28">
        <v>0</v>
      </c>
      <c r="G116" s="93">
        <v>158.1</v>
      </c>
      <c r="H116" s="28">
        <v>0</v>
      </c>
      <c r="I116" s="33">
        <f>D116-Апрель!D115</f>
        <v>127</v>
      </c>
    </row>
    <row r="117" spans="1:9" ht="12.75">
      <c r="A117" s="11" t="s">
        <v>49</v>
      </c>
      <c r="B117" s="33">
        <f>B118+B119+B120+B121</f>
        <v>169852.58</v>
      </c>
      <c r="C117" s="33">
        <f>C118+C119+C120+C121</f>
        <v>55217.5</v>
      </c>
      <c r="D117" s="33">
        <f>D118+D119+D120+D121</f>
        <v>55086.899999999994</v>
      </c>
      <c r="E117" s="33">
        <f>E118+E119+E120+E121</f>
        <v>114.19627869965237</v>
      </c>
      <c r="F117" s="33">
        <f>F118+F119+F120+F121</f>
        <v>186.49930587690886</v>
      </c>
      <c r="G117" s="80">
        <f>G118+G119+G120+G121+G122</f>
        <v>36265.4</v>
      </c>
      <c r="H117" s="25">
        <v>0</v>
      </c>
      <c r="I117" s="33">
        <f>D117-Апрель!D116</f>
        <v>17670.46</v>
      </c>
    </row>
    <row r="118" spans="1:9" ht="12.75">
      <c r="A118" s="8" t="s">
        <v>50</v>
      </c>
      <c r="B118" s="27">
        <v>3025.38</v>
      </c>
      <c r="C118" s="27">
        <v>754.6</v>
      </c>
      <c r="D118" s="27">
        <v>754.6</v>
      </c>
      <c r="E118" s="28">
        <f>$D:$D/$B:$B*100</f>
        <v>24.942321295176143</v>
      </c>
      <c r="F118" s="28">
        <v>0</v>
      </c>
      <c r="G118" s="66">
        <v>866.9</v>
      </c>
      <c r="H118" s="28">
        <v>0</v>
      </c>
      <c r="I118" s="33">
        <f>D118-Апрель!D117</f>
        <v>188.67000000000007</v>
      </c>
    </row>
    <row r="119" spans="1:9" ht="12.75">
      <c r="A119" s="8" t="s">
        <v>51</v>
      </c>
      <c r="B119" s="27">
        <v>106259.5</v>
      </c>
      <c r="C119" s="27">
        <v>41728.9</v>
      </c>
      <c r="D119" s="27">
        <v>41728.9</v>
      </c>
      <c r="E119" s="28">
        <f>$D:$D/$B:$B*100</f>
        <v>39.27074755668905</v>
      </c>
      <c r="F119" s="28">
        <f>$D:$D/$C:$C*100</f>
        <v>100</v>
      </c>
      <c r="G119" s="66">
        <v>0</v>
      </c>
      <c r="H119" s="28">
        <v>0</v>
      </c>
      <c r="I119" s="33">
        <f>D119-Апрель!D118</f>
        <v>10482.010000000002</v>
      </c>
    </row>
    <row r="120" spans="1:9" ht="12.75">
      <c r="A120" s="8" t="s">
        <v>52</v>
      </c>
      <c r="B120" s="27">
        <v>58037.9</v>
      </c>
      <c r="C120" s="27">
        <v>11869.6</v>
      </c>
      <c r="D120" s="27">
        <v>11855.7</v>
      </c>
      <c r="E120" s="28">
        <f>$D:$D/$B:$B*100</f>
        <v>20.427513745328486</v>
      </c>
      <c r="F120" s="28">
        <v>0</v>
      </c>
      <c r="G120" s="66">
        <v>31122.3</v>
      </c>
      <c r="H120" s="28">
        <v>0</v>
      </c>
      <c r="I120" s="33">
        <f>D120-Апрель!D119</f>
        <v>6880.920000000001</v>
      </c>
    </row>
    <row r="121" spans="1:9" ht="12.75">
      <c r="A121" s="8" t="s">
        <v>53</v>
      </c>
      <c r="B121" s="27">
        <v>2529.8</v>
      </c>
      <c r="C121" s="27">
        <v>864.4</v>
      </c>
      <c r="D121" s="27">
        <v>747.7</v>
      </c>
      <c r="E121" s="28">
        <f>$D:$D/$B:$B*100</f>
        <v>29.55569610245869</v>
      </c>
      <c r="F121" s="28">
        <f>$D:$D/$C:$C*100</f>
        <v>86.49930587690885</v>
      </c>
      <c r="G121" s="66">
        <v>3544.2</v>
      </c>
      <c r="H121" s="28">
        <f>$D:$D/$G:$G*100</f>
        <v>21.096439252863835</v>
      </c>
      <c r="I121" s="33">
        <f>D121-Апрель!D120</f>
        <v>118.86000000000001</v>
      </c>
    </row>
    <row r="122" spans="1:9" ht="12.75">
      <c r="A122" s="8" t="s">
        <v>54</v>
      </c>
      <c r="B122" s="27"/>
      <c r="C122" s="27"/>
      <c r="D122" s="27"/>
      <c r="E122" s="28"/>
      <c r="F122" s="28"/>
      <c r="G122" s="66">
        <v>732</v>
      </c>
      <c r="H122" s="28"/>
      <c r="I122" s="33"/>
    </row>
    <row r="123" spans="1:9" ht="12.75">
      <c r="A123" s="11" t="s">
        <v>61</v>
      </c>
      <c r="B123" s="26">
        <f>B124+B125+B126</f>
        <v>361142.8</v>
      </c>
      <c r="C123" s="26">
        <f>C124+C125+C126</f>
        <v>85234.4</v>
      </c>
      <c r="D123" s="26">
        <f>D124+D125+D126</f>
        <v>85130.79999999999</v>
      </c>
      <c r="E123" s="25">
        <f>$D:$D/$B:$B*100</f>
        <v>23.572614489337735</v>
      </c>
      <c r="F123" s="25">
        <f>$D:$D/$C:$C*100</f>
        <v>99.87845283125122</v>
      </c>
      <c r="G123" s="77">
        <f>G124+G125+G126</f>
        <v>95665.4</v>
      </c>
      <c r="H123" s="25">
        <f>$D:$D/$G:$G*100</f>
        <v>88.98807719405343</v>
      </c>
      <c r="I123" s="33">
        <f>D123-Апрель!D121</f>
        <v>24363.80999999999</v>
      </c>
    </row>
    <row r="124" spans="1:9" ht="12.75">
      <c r="A124" s="39" t="s">
        <v>62</v>
      </c>
      <c r="B124" s="27">
        <v>294545.2</v>
      </c>
      <c r="C124" s="27">
        <v>61558.7</v>
      </c>
      <c r="D124" s="27">
        <v>61558.7</v>
      </c>
      <c r="E124" s="28">
        <f>$D:$D/$B:$B*100</f>
        <v>20.899576703337893</v>
      </c>
      <c r="F124" s="28">
        <f>$D:$D/$C:$C*100</f>
        <v>100</v>
      </c>
      <c r="G124" s="66">
        <v>32831.2</v>
      </c>
      <c r="H124" s="28">
        <v>0</v>
      </c>
      <c r="I124" s="33">
        <f>D124-Апрель!D122</f>
        <v>18706.03</v>
      </c>
    </row>
    <row r="125" spans="1:9" ht="24.75" customHeight="1">
      <c r="A125" s="12" t="s">
        <v>63</v>
      </c>
      <c r="B125" s="27">
        <v>61418.6</v>
      </c>
      <c r="C125" s="27">
        <v>21801.6</v>
      </c>
      <c r="D125" s="27">
        <v>21801.6</v>
      </c>
      <c r="E125" s="28">
        <v>0</v>
      </c>
      <c r="F125" s="28">
        <v>0</v>
      </c>
      <c r="G125" s="66">
        <v>61202.1</v>
      </c>
      <c r="H125" s="28">
        <v>0</v>
      </c>
      <c r="I125" s="33">
        <f>D125-Апрель!D123</f>
        <v>5363.279999999999</v>
      </c>
    </row>
    <row r="126" spans="1:9" ht="25.5">
      <c r="A126" s="12" t="s">
        <v>73</v>
      </c>
      <c r="B126" s="27">
        <v>5179</v>
      </c>
      <c r="C126" s="27">
        <v>1874.1</v>
      </c>
      <c r="D126" s="27">
        <v>1770.5</v>
      </c>
      <c r="E126" s="28">
        <f>$D:$D/$B:$B*100</f>
        <v>34.18613631975285</v>
      </c>
      <c r="F126" s="28">
        <f>$D:$D/$C:$C*100</f>
        <v>94.47201323301852</v>
      </c>
      <c r="G126" s="66">
        <v>1632.1</v>
      </c>
      <c r="H126" s="28">
        <v>0</v>
      </c>
      <c r="I126" s="33">
        <f>D126-Апрель!D124</f>
        <v>294.5</v>
      </c>
    </row>
    <row r="127" spans="1:9" s="99" customFormat="1" ht="26.25" customHeight="1">
      <c r="A127" s="13" t="s">
        <v>80</v>
      </c>
      <c r="B127" s="26">
        <v>5.8</v>
      </c>
      <c r="C127" s="26">
        <v>5.75</v>
      </c>
      <c r="D127" s="26">
        <v>5.75</v>
      </c>
      <c r="E127" s="25">
        <f>$D:$D/$B:$B*100</f>
        <v>99.13793103448276</v>
      </c>
      <c r="F127" s="25">
        <v>0</v>
      </c>
      <c r="G127" s="66">
        <v>2.01384</v>
      </c>
      <c r="H127" s="25">
        <v>0</v>
      </c>
      <c r="I127" s="33">
        <f>D127-Апрель!D125</f>
        <v>0</v>
      </c>
    </row>
    <row r="128" spans="1:9" ht="13.5" customHeight="1">
      <c r="A128" s="12" t="s">
        <v>81</v>
      </c>
      <c r="B128" s="27">
        <v>5.8</v>
      </c>
      <c r="C128" s="27">
        <v>5.75</v>
      </c>
      <c r="D128" s="27">
        <v>5.75</v>
      </c>
      <c r="E128" s="28">
        <f>$D:$D/$B:$B*100</f>
        <v>99.13793103448276</v>
      </c>
      <c r="F128" s="28">
        <v>0</v>
      </c>
      <c r="G128" s="93">
        <f>2013.84/1000</f>
        <v>2.01384</v>
      </c>
      <c r="H128" s="28">
        <v>0</v>
      </c>
      <c r="I128" s="33">
        <f>D128-Апрель!D126</f>
        <v>0</v>
      </c>
    </row>
    <row r="129" spans="1:9" ht="15.75" customHeight="1">
      <c r="A129" s="14" t="s">
        <v>55</v>
      </c>
      <c r="B129" s="33">
        <f>B80+B89+B90+B91+B97+B105+B112+B115+B117+B123+B127+B102</f>
        <v>4543290.09</v>
      </c>
      <c r="C129" s="33">
        <f>C80+C89+C90+C91+C97+C105+C112+C115+C117+C123+C127+C102</f>
        <v>1251680.1899999997</v>
      </c>
      <c r="D129" s="33">
        <f>D80+D89+D90+D91+D97+D105+D112+D115+D117+D123+D127+D102</f>
        <v>1245069.39</v>
      </c>
      <c r="E129" s="25">
        <f>$D:$D/$B:$B*100</f>
        <v>27.404576096526554</v>
      </c>
      <c r="F129" s="25">
        <f>$D:$D/$C:$C*100</f>
        <v>99.47184591936382</v>
      </c>
      <c r="G129" s="80">
        <f>G80+G89+G90+G91+G97+G105+G112+G115+G117+G123+G127+G102</f>
        <v>946922.6138400001</v>
      </c>
      <c r="H129" s="25">
        <f>$D:$D/$G:$G*100</f>
        <v>131.4858650329347</v>
      </c>
      <c r="I129" s="33">
        <f>D129-Апрель!D127</f>
        <v>343322.6499999999</v>
      </c>
    </row>
    <row r="130" spans="1:9" ht="26.25" customHeight="1">
      <c r="A130" s="79" t="s">
        <v>56</v>
      </c>
      <c r="B130" s="80">
        <f>B74-B129</f>
        <v>-171004.6799999997</v>
      </c>
      <c r="C130" s="80">
        <f>C74-C129</f>
        <v>58786.720000000205</v>
      </c>
      <c r="D130" s="80">
        <f>D74-D129</f>
        <v>81327.36999999988</v>
      </c>
      <c r="E130" s="80"/>
      <c r="F130" s="80"/>
      <c r="G130" s="80">
        <f>G74-G129</f>
        <v>42400.58615999983</v>
      </c>
      <c r="H130" s="80"/>
      <c r="I130" s="33">
        <f>D130-Апрель!D128</f>
        <v>-53597.87000000011</v>
      </c>
    </row>
    <row r="131" spans="1:9" ht="24" customHeight="1">
      <c r="A131" s="1" t="s">
        <v>57</v>
      </c>
      <c r="B131" s="27" t="s">
        <v>159</v>
      </c>
      <c r="C131" s="27"/>
      <c r="D131" s="27" t="s">
        <v>175</v>
      </c>
      <c r="E131" s="27"/>
      <c r="F131" s="27"/>
      <c r="G131" s="80">
        <f>G74-G130</f>
        <v>946922.6138400001</v>
      </c>
      <c r="H131" s="26"/>
      <c r="I131" s="33"/>
    </row>
    <row r="132" spans="1:9" ht="12.75">
      <c r="A132" s="3" t="s">
        <v>58</v>
      </c>
      <c r="B132" s="77">
        <f>B134+B135</f>
        <v>99223.6</v>
      </c>
      <c r="C132" s="77">
        <f>C134+C135</f>
        <v>0</v>
      </c>
      <c r="D132" s="77">
        <f>D134+D135</f>
        <v>145551</v>
      </c>
      <c r="E132" s="77"/>
      <c r="F132" s="77">
        <f>F134+F135</f>
        <v>0</v>
      </c>
      <c r="G132" s="80">
        <f>G74-G131</f>
        <v>42400.58615999983</v>
      </c>
      <c r="H132" s="77"/>
      <c r="I132" s="33">
        <f>D132-Апрель!D130</f>
        <v>-71934.54000000001</v>
      </c>
    </row>
    <row r="133" spans="1:9" ht="12" customHeight="1">
      <c r="A133" s="1" t="s">
        <v>6</v>
      </c>
      <c r="B133" s="78"/>
      <c r="C133" s="27"/>
      <c r="D133" s="27"/>
      <c r="E133" s="27"/>
      <c r="F133" s="27"/>
      <c r="G133" s="33"/>
      <c r="H133" s="35"/>
      <c r="I133" s="33"/>
    </row>
    <row r="134" spans="1:9" ht="12.75">
      <c r="A134" s="5" t="s">
        <v>59</v>
      </c>
      <c r="B134" s="78">
        <v>53815.7</v>
      </c>
      <c r="C134" s="27"/>
      <c r="D134" s="27">
        <f>145551-102215</f>
        <v>43336</v>
      </c>
      <c r="E134" s="27"/>
      <c r="F134" s="27"/>
      <c r="G134" s="33">
        <v>42776.3</v>
      </c>
      <c r="H134" s="35"/>
      <c r="I134" s="33">
        <f>D134-Апрель!D132</f>
        <v>-79041.72</v>
      </c>
    </row>
    <row r="135" spans="1:9" ht="12.75">
      <c r="A135" s="1" t="s">
        <v>60</v>
      </c>
      <c r="B135" s="78">
        <f>99223.6-B134</f>
        <v>45407.90000000001</v>
      </c>
      <c r="C135" s="27"/>
      <c r="D135" s="27">
        <v>102215</v>
      </c>
      <c r="E135" s="27"/>
      <c r="F135" s="27"/>
      <c r="G135" s="33">
        <v>30446.1</v>
      </c>
      <c r="H135" s="35"/>
      <c r="I135" s="33">
        <f>D135-Апрель!D133</f>
        <v>7107.179999999993</v>
      </c>
    </row>
    <row r="136" spans="1:9" ht="12.75">
      <c r="A136" s="3" t="s">
        <v>99</v>
      </c>
      <c r="B136" s="26">
        <f>B137-B138</f>
        <v>22950</v>
      </c>
      <c r="C136" s="26">
        <f>C137-C138</f>
        <v>-35000</v>
      </c>
      <c r="D136" s="26">
        <f>D137-D138</f>
        <v>-35000</v>
      </c>
      <c r="E136" s="26"/>
      <c r="F136" s="26">
        <f>F137-F138</f>
        <v>0</v>
      </c>
      <c r="G136" s="33">
        <v>-12050</v>
      </c>
      <c r="H136" s="26"/>
      <c r="I136" s="33">
        <f>D136-Апрель!D134</f>
        <v>0</v>
      </c>
    </row>
    <row r="137" spans="1:9" ht="12.75">
      <c r="A137" s="2" t="s">
        <v>100</v>
      </c>
      <c r="B137" s="27">
        <v>35000</v>
      </c>
      <c r="C137" s="27">
        <v>0</v>
      </c>
      <c r="D137" s="27">
        <v>0</v>
      </c>
      <c r="E137" s="36"/>
      <c r="F137" s="36"/>
      <c r="G137" s="33">
        <v>0</v>
      </c>
      <c r="H137" s="37"/>
      <c r="I137" s="33">
        <f>D137-Апрель!D135</f>
        <v>0</v>
      </c>
    </row>
    <row r="138" spans="1:9" ht="12.75">
      <c r="A138" s="2" t="s">
        <v>101</v>
      </c>
      <c r="B138" s="27">
        <v>12050</v>
      </c>
      <c r="C138" s="27">
        <v>35000</v>
      </c>
      <c r="D138" s="27">
        <v>35000</v>
      </c>
      <c r="E138" s="36"/>
      <c r="F138" s="36"/>
      <c r="G138" s="33">
        <v>12050</v>
      </c>
      <c r="H138" s="37"/>
      <c r="I138" s="33">
        <f>D138-Апрель!D136</f>
        <v>0</v>
      </c>
    </row>
    <row r="139" spans="1:9" ht="12.75">
      <c r="A139" s="15"/>
      <c r="B139" s="24"/>
      <c r="C139" s="24"/>
      <c r="D139" s="24"/>
      <c r="E139" s="24"/>
      <c r="F139" s="24"/>
      <c r="G139" s="84"/>
      <c r="H139" s="24"/>
      <c r="I139" s="24"/>
    </row>
    <row r="141" ht="12" customHeight="1">
      <c r="A141" s="21" t="s">
        <v>79</v>
      </c>
    </row>
    <row r="142" ht="12.75" customHeight="1" hidden="1"/>
    <row r="144" spans="1:9" ht="25.5">
      <c r="A144" s="15" t="s">
        <v>103</v>
      </c>
      <c r="B144" s="24"/>
      <c r="C144" s="24"/>
      <c r="D144" s="24" t="s">
        <v>137</v>
      </c>
      <c r="E144" s="24"/>
      <c r="F144" s="24"/>
      <c r="G144" s="84"/>
      <c r="H144" s="24"/>
      <c r="I144" s="24"/>
    </row>
  </sheetData>
  <sheetProtection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4"/>
  <sheetViews>
    <sheetView view="pageBreakPreview" zoomScaleSheetLayoutView="100" zoomScalePageLayoutView="0" workbookViewId="0" topLeftCell="A1">
      <pane xSplit="1" ySplit="6" topLeftCell="B7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1:IV16384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85" customWidth="1"/>
    <col min="8" max="8" width="11.875" style="22" customWidth="1"/>
    <col min="9" max="9" width="10.00390625" style="22" customWidth="1"/>
    <col min="10" max="10" width="9.125" style="21" customWidth="1"/>
    <col min="11" max="13" width="10.00390625" style="21" bestFit="1" customWidth="1"/>
    <col min="14" max="16384" width="9.125" style="21" customWidth="1"/>
  </cols>
  <sheetData>
    <row r="1" spans="1:9" ht="12.75">
      <c r="A1" s="117" t="s">
        <v>102</v>
      </c>
      <c r="B1" s="117"/>
      <c r="C1" s="117"/>
      <c r="D1" s="117"/>
      <c r="E1" s="117"/>
      <c r="F1" s="117"/>
      <c r="G1" s="117"/>
      <c r="H1" s="117"/>
      <c r="I1" s="86"/>
    </row>
    <row r="2" spans="1:9" ht="12.75">
      <c r="A2" s="118" t="s">
        <v>177</v>
      </c>
      <c r="B2" s="118"/>
      <c r="C2" s="118"/>
      <c r="D2" s="118"/>
      <c r="E2" s="118"/>
      <c r="F2" s="118"/>
      <c r="G2" s="118"/>
      <c r="H2" s="118"/>
      <c r="I2" s="87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1"/>
    </row>
    <row r="4" spans="1:9" ht="45" customHeight="1">
      <c r="A4" s="4" t="s">
        <v>1</v>
      </c>
      <c r="B4" s="17" t="s">
        <v>2</v>
      </c>
      <c r="C4" s="17" t="s">
        <v>178</v>
      </c>
      <c r="D4" s="17" t="s">
        <v>68</v>
      </c>
      <c r="E4" s="17" t="s">
        <v>66</v>
      </c>
      <c r="F4" s="17" t="s">
        <v>69</v>
      </c>
      <c r="G4" s="101" t="s">
        <v>156</v>
      </c>
      <c r="H4" s="17" t="s">
        <v>65</v>
      </c>
      <c r="I4" s="17" t="s">
        <v>71</v>
      </c>
    </row>
    <row r="5" spans="1:9" ht="12.75">
      <c r="A5" s="88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ht="12.75">
      <c r="A6" s="119" t="s">
        <v>3</v>
      </c>
      <c r="B6" s="119"/>
      <c r="C6" s="119"/>
      <c r="D6" s="119"/>
      <c r="E6" s="119"/>
      <c r="F6" s="119"/>
      <c r="G6" s="119"/>
      <c r="H6" s="119"/>
      <c r="I6" s="120"/>
    </row>
    <row r="7" spans="1:9" ht="12.75">
      <c r="A7" s="46" t="s">
        <v>104</v>
      </c>
      <c r="B7" s="33">
        <f>B8+B17+B22+B27+B30+B38+B47+B48+B49+B53+B64</f>
        <v>722378.1900000001</v>
      </c>
      <c r="C7" s="33">
        <f>C8+C17+C22+C27+C30+C38+C47+C48+C49+C53+C64</f>
        <v>286108.39</v>
      </c>
      <c r="D7" s="33">
        <f>D8+D17+D22+D27+D30+D38+D47+D48+D49+D53+D64+D37</f>
        <v>309849.86000000004</v>
      </c>
      <c r="E7" s="25">
        <f>D7/B7*100</f>
        <v>42.89302532791031</v>
      </c>
      <c r="F7" s="25">
        <v>27699.089999999997</v>
      </c>
      <c r="G7" s="33">
        <v>332804.8</v>
      </c>
      <c r="H7" s="25">
        <f>C7/G7*100</f>
        <v>85.96882917554073</v>
      </c>
      <c r="I7" s="33">
        <f>D7-май!D7</f>
        <v>55672.590000000055</v>
      </c>
    </row>
    <row r="8" spans="1:9" ht="12.75">
      <c r="A8" s="47" t="s">
        <v>4</v>
      </c>
      <c r="B8" s="25">
        <f>B9+B10</f>
        <v>365325.60000000003</v>
      </c>
      <c r="C8" s="25">
        <f>C9+C10</f>
        <v>132621</v>
      </c>
      <c r="D8" s="25">
        <f>D9+D10</f>
        <v>155971</v>
      </c>
      <c r="E8" s="25">
        <f aca="true" t="shared" si="0" ref="E8:E73">D8/B8*100</f>
        <v>42.69369570596749</v>
      </c>
      <c r="F8" s="25">
        <v>10645.39</v>
      </c>
      <c r="G8" s="25">
        <v>179512.59999999998</v>
      </c>
      <c r="H8" s="25">
        <f aca="true" t="shared" si="1" ref="H8:H73">C8/G8*100</f>
        <v>73.87837956778523</v>
      </c>
      <c r="I8" s="33">
        <f>D8-май!D8</f>
        <v>38692.19999999998</v>
      </c>
    </row>
    <row r="9" spans="1:9" ht="25.5">
      <c r="A9" s="54" t="s">
        <v>5</v>
      </c>
      <c r="B9" s="27">
        <v>8631</v>
      </c>
      <c r="C9" s="27">
        <v>5750</v>
      </c>
      <c r="D9" s="27">
        <v>8090.7</v>
      </c>
      <c r="E9" s="27">
        <f t="shared" si="0"/>
        <v>93.74000695168579</v>
      </c>
      <c r="F9" s="25">
        <v>200.86</v>
      </c>
      <c r="G9" s="26">
        <v>1463.5</v>
      </c>
      <c r="H9" s="25">
        <f t="shared" si="1"/>
        <v>392.89374786470785</v>
      </c>
      <c r="I9" s="33">
        <f>D9-май!D9</f>
        <v>740.2799999999997</v>
      </c>
    </row>
    <row r="10" spans="1:9" ht="12.75" customHeight="1">
      <c r="A10" s="54" t="s">
        <v>70</v>
      </c>
      <c r="B10" s="33">
        <f>SUM(B11:B16)</f>
        <v>356694.60000000003</v>
      </c>
      <c r="C10" s="33">
        <f>SUM(C11:C16)</f>
        <v>126871</v>
      </c>
      <c r="D10" s="33">
        <f>SUM(D11:D16)</f>
        <v>147880.3</v>
      </c>
      <c r="E10" s="25">
        <f t="shared" si="0"/>
        <v>41.458519416890525</v>
      </c>
      <c r="F10" s="25">
        <v>10444.529999999999</v>
      </c>
      <c r="G10" s="42">
        <v>178049.19999999998</v>
      </c>
      <c r="H10" s="25">
        <f t="shared" si="1"/>
        <v>71.25614717729707</v>
      </c>
      <c r="I10" s="33">
        <f>D10-май!D10</f>
        <v>37951.91999999997</v>
      </c>
    </row>
    <row r="11" spans="1:9" ht="51">
      <c r="A11" s="51" t="s">
        <v>74</v>
      </c>
      <c r="B11" s="27">
        <v>336860.2</v>
      </c>
      <c r="C11" s="27">
        <v>116000</v>
      </c>
      <c r="D11" s="27">
        <v>141308.3</v>
      </c>
      <c r="E11" s="27">
        <f t="shared" si="0"/>
        <v>41.948648133558066</v>
      </c>
      <c r="F11" s="27">
        <v>10058</v>
      </c>
      <c r="G11" s="27">
        <v>124016.2</v>
      </c>
      <c r="H11" s="25">
        <f t="shared" si="1"/>
        <v>93.53616704914359</v>
      </c>
      <c r="I11" s="33">
        <f>D11-май!D11</f>
        <v>36980.05999999998</v>
      </c>
    </row>
    <row r="12" spans="1:9" ht="51" customHeight="1">
      <c r="A12" s="51" t="s">
        <v>75</v>
      </c>
      <c r="B12" s="27">
        <v>1745</v>
      </c>
      <c r="C12" s="27">
        <v>781</v>
      </c>
      <c r="D12" s="27">
        <v>527.4</v>
      </c>
      <c r="E12" s="27">
        <f t="shared" si="0"/>
        <v>30.22349570200573</v>
      </c>
      <c r="F12" s="27">
        <v>81.56</v>
      </c>
      <c r="G12" s="27">
        <v>146.8</v>
      </c>
      <c r="H12" s="25">
        <f t="shared" si="1"/>
        <v>532.016348773842</v>
      </c>
      <c r="I12" s="33">
        <f>D12-май!D12</f>
        <v>19.769999999999982</v>
      </c>
    </row>
    <row r="13" spans="1:9" ht="25.5">
      <c r="A13" s="51" t="s">
        <v>76</v>
      </c>
      <c r="B13" s="27">
        <v>5600.4</v>
      </c>
      <c r="C13" s="27">
        <v>3130</v>
      </c>
      <c r="D13" s="27">
        <v>90.4</v>
      </c>
      <c r="E13" s="27">
        <f t="shared" si="0"/>
        <v>1.6141704163988289</v>
      </c>
      <c r="F13" s="27">
        <v>117.15</v>
      </c>
      <c r="G13" s="27">
        <v>2916.4</v>
      </c>
      <c r="H13" s="25">
        <f t="shared" si="1"/>
        <v>107.3240982032643</v>
      </c>
      <c r="I13" s="33">
        <f>D13-май!D13</f>
        <v>26.970000000000006</v>
      </c>
    </row>
    <row r="14" spans="1:9" ht="63.75">
      <c r="A14" s="51" t="s">
        <v>78</v>
      </c>
      <c r="B14" s="27">
        <v>3850</v>
      </c>
      <c r="C14" s="27">
        <v>1860</v>
      </c>
      <c r="D14" s="27">
        <v>1873.7</v>
      </c>
      <c r="E14" s="27">
        <f t="shared" si="0"/>
        <v>48.66753246753247</v>
      </c>
      <c r="F14" s="27">
        <v>187.82</v>
      </c>
      <c r="G14" s="27">
        <v>1895.2</v>
      </c>
      <c r="H14" s="25">
        <f t="shared" si="1"/>
        <v>98.14267623469817</v>
      </c>
      <c r="I14" s="33">
        <f>D14-май!D14</f>
        <v>337.68000000000006</v>
      </c>
    </row>
    <row r="15" spans="1:9" ht="37.5" customHeight="1">
      <c r="A15" s="51" t="s">
        <v>145</v>
      </c>
      <c r="B15" s="27">
        <v>8639</v>
      </c>
      <c r="C15" s="27">
        <v>5100</v>
      </c>
      <c r="D15" s="27">
        <v>1986.8</v>
      </c>
      <c r="E15" s="27">
        <f t="shared" si="0"/>
        <v>22.998032179650423</v>
      </c>
      <c r="F15" s="27"/>
      <c r="G15" s="34">
        <v>49074.6</v>
      </c>
      <c r="H15" s="25">
        <f t="shared" si="1"/>
        <v>10.392341455661382</v>
      </c>
      <c r="I15" s="33">
        <f>D15-май!D15</f>
        <v>37.950000000000045</v>
      </c>
    </row>
    <row r="16" spans="1:9" ht="53.25" customHeight="1">
      <c r="A16" s="51" t="s">
        <v>164</v>
      </c>
      <c r="B16" s="27">
        <v>0</v>
      </c>
      <c r="C16" s="27">
        <v>0</v>
      </c>
      <c r="D16" s="27">
        <v>2093.7</v>
      </c>
      <c r="E16" s="27">
        <v>0</v>
      </c>
      <c r="F16" s="27"/>
      <c r="G16" s="33">
        <v>0</v>
      </c>
      <c r="H16" s="25">
        <v>0</v>
      </c>
      <c r="I16" s="33">
        <f>D16-май!D16</f>
        <v>549.4899999999998</v>
      </c>
    </row>
    <row r="17" spans="1:9" ht="39.75" customHeight="1">
      <c r="A17" s="53" t="s">
        <v>82</v>
      </c>
      <c r="B17" s="26">
        <f>SUM(B18:B21)</f>
        <v>59089.46000000001</v>
      </c>
      <c r="C17" s="26">
        <f>SUM(C18:C21)</f>
        <v>31905</v>
      </c>
      <c r="D17" s="26">
        <f>SUM(D18:D21)</f>
        <v>32200.4</v>
      </c>
      <c r="E17" s="25">
        <f t="shared" si="0"/>
        <v>54.49432098380997</v>
      </c>
      <c r="F17" s="25">
        <v>1853.18</v>
      </c>
      <c r="G17" s="26">
        <v>30104.7</v>
      </c>
      <c r="H17" s="25">
        <f t="shared" si="1"/>
        <v>105.98012934857348</v>
      </c>
      <c r="I17" s="33">
        <f>D17-май!D17</f>
        <v>5528.460000000003</v>
      </c>
    </row>
    <row r="18" spans="1:9" ht="37.5" customHeight="1">
      <c r="A18" s="37" t="s">
        <v>83</v>
      </c>
      <c r="B18" s="27">
        <v>27987.73</v>
      </c>
      <c r="C18" s="27">
        <v>15245</v>
      </c>
      <c r="D18" s="27">
        <v>16599.5</v>
      </c>
      <c r="E18" s="27">
        <f t="shared" si="0"/>
        <v>59.30991902522999</v>
      </c>
      <c r="F18" s="27">
        <v>844.23</v>
      </c>
      <c r="G18" s="34">
        <v>14818.2</v>
      </c>
      <c r="H18" s="25">
        <f t="shared" si="1"/>
        <v>102.8802418647339</v>
      </c>
      <c r="I18" s="33">
        <f>D18-май!D18</f>
        <v>2847.370000000001</v>
      </c>
    </row>
    <row r="19" spans="1:9" ht="56.25" customHeight="1">
      <c r="A19" s="37" t="s">
        <v>84</v>
      </c>
      <c r="B19" s="27">
        <v>194.4</v>
      </c>
      <c r="C19" s="27">
        <v>90</v>
      </c>
      <c r="D19" s="27">
        <v>86.3</v>
      </c>
      <c r="E19" s="27">
        <f t="shared" si="0"/>
        <v>44.39300411522634</v>
      </c>
      <c r="F19" s="27">
        <v>5.74</v>
      </c>
      <c r="G19" s="34">
        <v>87.2</v>
      </c>
      <c r="H19" s="25">
        <f t="shared" si="1"/>
        <v>103.21100917431193</v>
      </c>
      <c r="I19" s="33">
        <f>D19-май!D19</f>
        <v>18.060000000000002</v>
      </c>
    </row>
    <row r="20" spans="1:9" ht="55.5" customHeight="1">
      <c r="A20" s="37" t="s">
        <v>85</v>
      </c>
      <c r="B20" s="27">
        <v>34598.53</v>
      </c>
      <c r="C20" s="27">
        <v>18450</v>
      </c>
      <c r="D20" s="27">
        <v>17585.7</v>
      </c>
      <c r="E20" s="27">
        <f t="shared" si="0"/>
        <v>50.82788199383038</v>
      </c>
      <c r="F20" s="27">
        <v>1158.41</v>
      </c>
      <c r="G20" s="34">
        <v>17069.6</v>
      </c>
      <c r="H20" s="25">
        <f t="shared" si="1"/>
        <v>108.08689131555515</v>
      </c>
      <c r="I20" s="33">
        <f>D20-май!D20</f>
        <v>3020.66</v>
      </c>
    </row>
    <row r="21" spans="1:9" ht="15.75" customHeight="1">
      <c r="A21" s="37" t="s">
        <v>86</v>
      </c>
      <c r="B21" s="27">
        <v>-3691.2</v>
      </c>
      <c r="C21" s="27">
        <v>-1880</v>
      </c>
      <c r="D21" s="27">
        <v>-2071.1</v>
      </c>
      <c r="E21" s="27">
        <f t="shared" si="0"/>
        <v>56.10912440398786</v>
      </c>
      <c r="F21" s="27">
        <v>-155.2</v>
      </c>
      <c r="G21" s="34">
        <v>-1870.3</v>
      </c>
      <c r="H21" s="25">
        <f t="shared" si="1"/>
        <v>100.51863337432498</v>
      </c>
      <c r="I21" s="33">
        <f>D21-май!D21</f>
        <v>-357.6299999999999</v>
      </c>
    </row>
    <row r="22" spans="1:9" ht="12.75">
      <c r="A22" s="54" t="s">
        <v>7</v>
      </c>
      <c r="B22" s="26">
        <f>SUM(B23:B26)</f>
        <v>148961.30000000002</v>
      </c>
      <c r="C22" s="26">
        <f>SUM(C23:C26)</f>
        <v>80400</v>
      </c>
      <c r="D22" s="26">
        <f>SUM(D23:D26)</f>
        <v>78745</v>
      </c>
      <c r="E22" s="25">
        <f t="shared" si="0"/>
        <v>52.86272340534084</v>
      </c>
      <c r="F22" s="25">
        <v>7362.96</v>
      </c>
      <c r="G22" s="26">
        <v>67884.3</v>
      </c>
      <c r="H22" s="25">
        <f t="shared" si="1"/>
        <v>118.43681086790319</v>
      </c>
      <c r="I22" s="33">
        <f>D22-май!D22</f>
        <v>4474.669999999998</v>
      </c>
    </row>
    <row r="23" spans="1:9" ht="28.5" customHeight="1">
      <c r="A23" s="51" t="s">
        <v>146</v>
      </c>
      <c r="B23" s="27">
        <v>116885.1</v>
      </c>
      <c r="C23" s="27">
        <v>63900</v>
      </c>
      <c r="D23" s="27">
        <v>65397.5</v>
      </c>
      <c r="E23" s="27">
        <f t="shared" si="0"/>
        <v>55.950245155284975</v>
      </c>
      <c r="F23" s="27"/>
      <c r="G23" s="27">
        <v>53708.4</v>
      </c>
      <c r="H23" s="25">
        <f t="shared" si="1"/>
        <v>118.97580266773913</v>
      </c>
      <c r="I23" s="33">
        <f>D23-май!D23</f>
        <v>4008</v>
      </c>
    </row>
    <row r="24" spans="1:9" ht="19.5" customHeight="1">
      <c r="A24" s="51" t="s">
        <v>89</v>
      </c>
      <c r="B24" s="27">
        <v>0</v>
      </c>
      <c r="C24" s="27">
        <v>0</v>
      </c>
      <c r="D24" s="27">
        <v>-652.3</v>
      </c>
      <c r="E24" s="27" t="s">
        <v>148</v>
      </c>
      <c r="F24" s="27">
        <v>7198.75</v>
      </c>
      <c r="G24" s="27">
        <v>33.5</v>
      </c>
      <c r="H24" s="25">
        <f t="shared" si="1"/>
        <v>0</v>
      </c>
      <c r="I24" s="33">
        <f>D24-май!D24</f>
        <v>5.4500000000000455</v>
      </c>
    </row>
    <row r="25" spans="1:9" ht="15" customHeight="1">
      <c r="A25" s="51" t="s">
        <v>87</v>
      </c>
      <c r="B25" s="27">
        <v>715</v>
      </c>
      <c r="C25" s="27">
        <v>300</v>
      </c>
      <c r="D25" s="27">
        <v>440</v>
      </c>
      <c r="E25" s="27">
        <f t="shared" si="0"/>
        <v>61.53846153846154</v>
      </c>
      <c r="F25" s="27">
        <v>113.58</v>
      </c>
      <c r="G25" s="34">
        <v>289.4</v>
      </c>
      <c r="H25" s="25">
        <f t="shared" si="1"/>
        <v>103.66275051831376</v>
      </c>
      <c r="I25" s="33">
        <f>D25-май!D25</f>
        <v>0.029999999999972715</v>
      </c>
    </row>
    <row r="26" spans="1:9" ht="27" customHeight="1">
      <c r="A26" s="51" t="s">
        <v>88</v>
      </c>
      <c r="B26" s="27">
        <v>31361.2</v>
      </c>
      <c r="C26" s="27">
        <v>16200</v>
      </c>
      <c r="D26" s="27">
        <v>13559.8</v>
      </c>
      <c r="E26" s="27">
        <f t="shared" si="0"/>
        <v>43.23750366695152</v>
      </c>
      <c r="F26" s="27">
        <v>50.63</v>
      </c>
      <c r="G26" s="27">
        <v>13853</v>
      </c>
      <c r="H26" s="25">
        <f t="shared" si="1"/>
        <v>116.9421785894752</v>
      </c>
      <c r="I26" s="33">
        <f>D26-май!D26</f>
        <v>461.1899999999987</v>
      </c>
    </row>
    <row r="27" spans="1:9" ht="12.75">
      <c r="A27" s="54" t="s">
        <v>8</v>
      </c>
      <c r="B27" s="26">
        <f>SUM(B28:B29)</f>
        <v>42454.6</v>
      </c>
      <c r="C27" s="26">
        <f>SUM(C28:C29)</f>
        <v>7750</v>
      </c>
      <c r="D27" s="26">
        <f>SUM(D28:D29)</f>
        <v>7716.200000000001</v>
      </c>
      <c r="E27" s="25">
        <f t="shared" si="0"/>
        <v>18.17518007471511</v>
      </c>
      <c r="F27" s="25">
        <v>2465.82</v>
      </c>
      <c r="G27" s="26">
        <v>8393</v>
      </c>
      <c r="H27" s="25">
        <f t="shared" si="1"/>
        <v>92.33885380674371</v>
      </c>
      <c r="I27" s="33">
        <f>D27-май!D27</f>
        <v>612.460000000001</v>
      </c>
    </row>
    <row r="28" spans="1:9" ht="12.75">
      <c r="A28" s="51" t="s">
        <v>106</v>
      </c>
      <c r="B28" s="27">
        <v>24668.5</v>
      </c>
      <c r="C28" s="27">
        <v>2850</v>
      </c>
      <c r="D28" s="27">
        <v>2183.6</v>
      </c>
      <c r="E28" s="27">
        <f t="shared" si="0"/>
        <v>8.851774530271399</v>
      </c>
      <c r="F28" s="27">
        <v>536.1</v>
      </c>
      <c r="G28" s="34">
        <v>3171.2</v>
      </c>
      <c r="H28" s="25">
        <f t="shared" si="1"/>
        <v>89.87134207870838</v>
      </c>
      <c r="I28" s="33">
        <f>D28-май!D28</f>
        <v>226.07999999999993</v>
      </c>
    </row>
    <row r="29" spans="1:9" ht="12.75">
      <c r="A29" s="51" t="s">
        <v>107</v>
      </c>
      <c r="B29" s="27">
        <v>17786.1</v>
      </c>
      <c r="C29" s="27">
        <v>4900</v>
      </c>
      <c r="D29" s="27">
        <v>5532.6</v>
      </c>
      <c r="E29" s="27">
        <f t="shared" si="0"/>
        <v>31.10631335705973</v>
      </c>
      <c r="F29" s="27">
        <v>1929.72</v>
      </c>
      <c r="G29" s="27">
        <v>5221.8</v>
      </c>
      <c r="H29" s="25">
        <f t="shared" si="1"/>
        <v>93.83737408556436</v>
      </c>
      <c r="I29" s="33">
        <f>D29-май!D29</f>
        <v>386.3800000000001</v>
      </c>
    </row>
    <row r="30" spans="1:9" ht="12.75">
      <c r="A30" s="47" t="s">
        <v>9</v>
      </c>
      <c r="B30" s="26">
        <f>SUM(B31:B33)</f>
        <v>15600</v>
      </c>
      <c r="C30" s="26">
        <f>SUM(C31:C33)</f>
        <v>7520</v>
      </c>
      <c r="D30" s="26">
        <f>SUM(D31:D33)</f>
        <v>8963.6</v>
      </c>
      <c r="E30" s="26">
        <f t="shared" si="0"/>
        <v>57.45897435897436</v>
      </c>
      <c r="F30" s="26">
        <v>793.07</v>
      </c>
      <c r="G30" s="26">
        <v>7816.099999999999</v>
      </c>
      <c r="H30" s="25">
        <f t="shared" si="1"/>
        <v>96.21166566446182</v>
      </c>
      <c r="I30" s="33">
        <f>D30-май!D30</f>
        <v>1731.2300000000005</v>
      </c>
    </row>
    <row r="31" spans="1:9" ht="25.5">
      <c r="A31" s="51" t="s">
        <v>10</v>
      </c>
      <c r="B31" s="27">
        <v>15550</v>
      </c>
      <c r="C31" s="27">
        <v>7500</v>
      </c>
      <c r="D31" s="27">
        <v>8943.6</v>
      </c>
      <c r="E31" s="27">
        <f t="shared" si="0"/>
        <v>57.51511254019292</v>
      </c>
      <c r="F31" s="27">
        <v>793.07</v>
      </c>
      <c r="G31" s="27">
        <v>7727.7</v>
      </c>
      <c r="H31" s="25">
        <f t="shared" si="1"/>
        <v>97.05345704413992</v>
      </c>
      <c r="I31" s="33">
        <f>D31-май!D31</f>
        <v>1731.2300000000005</v>
      </c>
    </row>
    <row r="32" spans="1:9" ht="25.5">
      <c r="A32" s="51" t="s">
        <v>91</v>
      </c>
      <c r="B32" s="27">
        <v>0</v>
      </c>
      <c r="C32" s="27">
        <v>0</v>
      </c>
      <c r="D32" s="27">
        <v>0</v>
      </c>
      <c r="E32" s="27" t="s">
        <v>148</v>
      </c>
      <c r="F32" s="27">
        <v>0</v>
      </c>
      <c r="G32" s="107">
        <v>38.4</v>
      </c>
      <c r="H32" s="25">
        <f t="shared" si="1"/>
        <v>0</v>
      </c>
      <c r="I32" s="33">
        <f>D32-май!D32</f>
        <v>0</v>
      </c>
    </row>
    <row r="33" spans="1:9" ht="25.5">
      <c r="A33" s="51" t="s">
        <v>90</v>
      </c>
      <c r="B33" s="27">
        <v>50</v>
      </c>
      <c r="C33" s="27">
        <v>20</v>
      </c>
      <c r="D33" s="27">
        <v>20</v>
      </c>
      <c r="E33" s="27">
        <f t="shared" si="0"/>
        <v>40</v>
      </c>
      <c r="F33" s="27">
        <v>0</v>
      </c>
      <c r="G33" s="107">
        <v>50</v>
      </c>
      <c r="H33" s="25">
        <f t="shared" si="1"/>
        <v>40</v>
      </c>
      <c r="I33" s="33">
        <f>D33-май!D33</f>
        <v>0</v>
      </c>
    </row>
    <row r="34" spans="1:9" ht="25.5" hidden="1">
      <c r="A34" s="54" t="s">
        <v>11</v>
      </c>
      <c r="B34" s="27">
        <v>0</v>
      </c>
      <c r="C34" s="27">
        <v>0</v>
      </c>
      <c r="D34" s="27">
        <v>0.02</v>
      </c>
      <c r="E34" s="25" t="e">
        <f t="shared" si="0"/>
        <v>#DIV/0!</v>
      </c>
      <c r="F34" s="25">
        <v>0</v>
      </c>
      <c r="G34" s="27">
        <v>0.02</v>
      </c>
      <c r="H34" s="25">
        <f t="shared" si="1"/>
        <v>0</v>
      </c>
      <c r="I34" s="33">
        <f>D34-май!D34</f>
        <v>0</v>
      </c>
    </row>
    <row r="35" spans="1:9" ht="25.5" hidden="1">
      <c r="A35" s="51" t="s">
        <v>116</v>
      </c>
      <c r="B35" s="33">
        <v>0</v>
      </c>
      <c r="C35" s="33">
        <v>0</v>
      </c>
      <c r="D35" s="33">
        <v>0.02</v>
      </c>
      <c r="E35" s="25" t="e">
        <f t="shared" si="0"/>
        <v>#DIV/0!</v>
      </c>
      <c r="F35" s="25">
        <v>0</v>
      </c>
      <c r="G35" s="33">
        <v>0.02</v>
      </c>
      <c r="H35" s="25">
        <f t="shared" si="1"/>
        <v>0</v>
      </c>
      <c r="I35" s="33">
        <f>D35-май!D35</f>
        <v>0</v>
      </c>
    </row>
    <row r="36" spans="1:9" ht="25.5" hidden="1">
      <c r="A36" s="51" t="s">
        <v>92</v>
      </c>
      <c r="B36" s="27">
        <v>0</v>
      </c>
      <c r="C36" s="27">
        <v>0</v>
      </c>
      <c r="D36" s="27">
        <v>0</v>
      </c>
      <c r="E36" s="25" t="e">
        <f t="shared" si="0"/>
        <v>#DIV/0!</v>
      </c>
      <c r="F36" s="25">
        <v>0</v>
      </c>
      <c r="G36" s="27">
        <v>0</v>
      </c>
      <c r="H36" s="25" t="e">
        <f t="shared" si="1"/>
        <v>#DIV/0!</v>
      </c>
      <c r="I36" s="33">
        <f>D36-май!D36</f>
        <v>0</v>
      </c>
    </row>
    <row r="37" spans="1:9" ht="38.25">
      <c r="A37" s="54" t="s">
        <v>150</v>
      </c>
      <c r="B37" s="27">
        <v>0</v>
      </c>
      <c r="C37" s="27">
        <v>0</v>
      </c>
      <c r="D37" s="27">
        <v>-8.11</v>
      </c>
      <c r="E37" s="25">
        <v>0</v>
      </c>
      <c r="F37" s="25"/>
      <c r="G37" s="26">
        <v>0</v>
      </c>
      <c r="H37" s="25">
        <v>0</v>
      </c>
      <c r="I37" s="33">
        <f>D37-май!D37</f>
        <v>0</v>
      </c>
    </row>
    <row r="38" spans="1:9" ht="39.75" customHeight="1">
      <c r="A38" s="54" t="s">
        <v>12</v>
      </c>
      <c r="B38" s="26">
        <f>SUM(B40:B46)</f>
        <v>57702.52</v>
      </c>
      <c r="C38" s="26">
        <f>SUM(C40:C46)</f>
        <v>29611.560000000005</v>
      </c>
      <c r="D38" s="26">
        <f>SUM(D40:D46)</f>
        <v>24593.510000000002</v>
      </c>
      <c r="E38" s="26">
        <f t="shared" si="0"/>
        <v>42.62120614489628</v>
      </c>
      <c r="F38" s="26">
        <v>3247.05</v>
      </c>
      <c r="G38" s="26">
        <v>24150.6</v>
      </c>
      <c r="H38" s="25">
        <f t="shared" si="1"/>
        <v>122.6121090159251</v>
      </c>
      <c r="I38" s="33">
        <f>D38-май!D38</f>
        <v>4100.110000000004</v>
      </c>
    </row>
    <row r="39" spans="1:9" ht="81.75" customHeight="1" hidden="1">
      <c r="A39" s="51" t="s">
        <v>114</v>
      </c>
      <c r="B39" s="27"/>
      <c r="C39" s="27"/>
      <c r="D39" s="27"/>
      <c r="E39" s="25" t="e">
        <f t="shared" si="0"/>
        <v>#DIV/0!</v>
      </c>
      <c r="F39" s="25"/>
      <c r="G39" s="27"/>
      <c r="H39" s="25" t="e">
        <f t="shared" si="1"/>
        <v>#DIV/0!</v>
      </c>
      <c r="I39" s="33">
        <f>D39-май!D39</f>
        <v>0</v>
      </c>
    </row>
    <row r="40" spans="1:9" ht="76.5">
      <c r="A40" s="51" t="s">
        <v>117</v>
      </c>
      <c r="B40" s="27">
        <v>29271.18</v>
      </c>
      <c r="C40" s="27">
        <v>14635.6</v>
      </c>
      <c r="D40" s="27">
        <v>12138.8</v>
      </c>
      <c r="E40" s="27">
        <f t="shared" si="0"/>
        <v>41.47014230379506</v>
      </c>
      <c r="F40" s="27">
        <v>2393.3</v>
      </c>
      <c r="G40" s="34">
        <v>13358.1</v>
      </c>
      <c r="H40" s="25">
        <f t="shared" si="1"/>
        <v>109.56348582507991</v>
      </c>
      <c r="I40" s="33">
        <f>D40-май!D40</f>
        <v>2140</v>
      </c>
    </row>
    <row r="41" spans="1:9" ht="76.5">
      <c r="A41" s="51" t="s">
        <v>125</v>
      </c>
      <c r="B41" s="27">
        <v>5434.31</v>
      </c>
      <c r="C41" s="27">
        <v>2717.16</v>
      </c>
      <c r="D41" s="27">
        <v>2682.74</v>
      </c>
      <c r="E41" s="27">
        <f t="shared" si="0"/>
        <v>49.36670892900846</v>
      </c>
      <c r="F41" s="27">
        <v>75.44</v>
      </c>
      <c r="G41" s="34">
        <v>2119.6</v>
      </c>
      <c r="H41" s="25">
        <f t="shared" si="1"/>
        <v>128.1921117191923</v>
      </c>
      <c r="I41" s="33">
        <f>D41-май!D41</f>
        <v>478.62999999999965</v>
      </c>
    </row>
    <row r="42" spans="1:9" ht="76.5">
      <c r="A42" s="51" t="s">
        <v>118</v>
      </c>
      <c r="B42" s="27">
        <v>515.73</v>
      </c>
      <c r="C42" s="27">
        <v>252.7</v>
      </c>
      <c r="D42" s="27">
        <v>383.1</v>
      </c>
      <c r="E42" s="27">
        <f t="shared" si="0"/>
        <v>74.28305508696411</v>
      </c>
      <c r="F42" s="27">
        <v>3.43</v>
      </c>
      <c r="G42" s="34">
        <v>233.3</v>
      </c>
      <c r="H42" s="25">
        <f t="shared" si="1"/>
        <v>108.31547363909128</v>
      </c>
      <c r="I42" s="33">
        <f>D42-май!D42</f>
        <v>91.77000000000004</v>
      </c>
    </row>
    <row r="43" spans="1:9" ht="38.25">
      <c r="A43" s="51" t="s">
        <v>119</v>
      </c>
      <c r="B43" s="27">
        <v>17384.33</v>
      </c>
      <c r="C43" s="27">
        <v>8692.1</v>
      </c>
      <c r="D43" s="27">
        <v>6921.9</v>
      </c>
      <c r="E43" s="27">
        <f t="shared" si="0"/>
        <v>39.81689256934261</v>
      </c>
      <c r="F43" s="27">
        <v>538.73</v>
      </c>
      <c r="G43" s="34">
        <v>6481.5</v>
      </c>
      <c r="H43" s="25">
        <f t="shared" si="1"/>
        <v>134.10630255342127</v>
      </c>
      <c r="I43" s="33">
        <f>D43-май!D43</f>
        <v>1124.7999999999993</v>
      </c>
    </row>
    <row r="44" spans="1:9" ht="44.25" customHeight="1">
      <c r="A44" s="51" t="s">
        <v>147</v>
      </c>
      <c r="B44" s="27">
        <v>62.2</v>
      </c>
      <c r="C44" s="27">
        <v>31.1</v>
      </c>
      <c r="D44" s="27">
        <v>13.7</v>
      </c>
      <c r="E44" s="27">
        <f t="shared" si="0"/>
        <v>22.02572347266881</v>
      </c>
      <c r="F44" s="27"/>
      <c r="G44" s="34">
        <v>8.5</v>
      </c>
      <c r="H44" s="25" t="s">
        <v>148</v>
      </c>
      <c r="I44" s="33">
        <f>D44-май!D44</f>
        <v>-0.030000000000001137</v>
      </c>
    </row>
    <row r="45" spans="1:9" ht="51">
      <c r="A45" s="51" t="s">
        <v>120</v>
      </c>
      <c r="B45" s="27">
        <v>1531</v>
      </c>
      <c r="C45" s="27">
        <v>1531</v>
      </c>
      <c r="D45" s="27">
        <v>1027.37</v>
      </c>
      <c r="E45" s="27">
        <f t="shared" si="0"/>
        <v>67.10450685826257</v>
      </c>
      <c r="F45" s="27">
        <v>0</v>
      </c>
      <c r="G45" s="34">
        <v>477.6</v>
      </c>
      <c r="H45" s="25" t="s">
        <v>148</v>
      </c>
      <c r="I45" s="33">
        <f>D45-май!D45</f>
        <v>0</v>
      </c>
    </row>
    <row r="46" spans="1:9" ht="76.5">
      <c r="A46" s="51" t="s">
        <v>121</v>
      </c>
      <c r="B46" s="27">
        <v>3503.77</v>
      </c>
      <c r="C46" s="27">
        <v>1751.9</v>
      </c>
      <c r="D46" s="27">
        <v>1425.9</v>
      </c>
      <c r="E46" s="27">
        <f t="shared" si="0"/>
        <v>40.696164417184924</v>
      </c>
      <c r="F46" s="27">
        <v>236.15</v>
      </c>
      <c r="G46" s="27">
        <v>1472</v>
      </c>
      <c r="H46" s="25">
        <f t="shared" si="1"/>
        <v>119.01494565217392</v>
      </c>
      <c r="I46" s="33">
        <f>D46-май!D46</f>
        <v>264.94000000000005</v>
      </c>
    </row>
    <row r="47" spans="1:9" ht="27" customHeight="1">
      <c r="A47" s="54" t="s">
        <v>13</v>
      </c>
      <c r="B47" s="33">
        <v>598.72</v>
      </c>
      <c r="C47" s="33">
        <v>238</v>
      </c>
      <c r="D47" s="33">
        <v>2286</v>
      </c>
      <c r="E47" s="33">
        <f t="shared" si="0"/>
        <v>381.8145376803848</v>
      </c>
      <c r="F47" s="33">
        <v>43.6</v>
      </c>
      <c r="G47" s="26">
        <v>408.4</v>
      </c>
      <c r="H47" s="33">
        <f t="shared" si="1"/>
        <v>58.27619980411362</v>
      </c>
      <c r="I47" s="33">
        <f>D47-май!D47</f>
        <v>594.04</v>
      </c>
    </row>
    <row r="48" spans="1:9" ht="25.5">
      <c r="A48" s="54" t="s">
        <v>96</v>
      </c>
      <c r="B48" s="33">
        <v>1290.36</v>
      </c>
      <c r="C48" s="33">
        <v>615.7</v>
      </c>
      <c r="D48" s="33">
        <v>1044.1</v>
      </c>
      <c r="E48" s="33">
        <f t="shared" si="0"/>
        <v>80.91540345329985</v>
      </c>
      <c r="F48" s="33">
        <v>561.58</v>
      </c>
      <c r="G48" s="26">
        <v>9254.8</v>
      </c>
      <c r="H48" s="33">
        <f t="shared" si="1"/>
        <v>6.652763971128496</v>
      </c>
      <c r="I48" s="33">
        <f>D48-май!D48</f>
        <v>403.28999999999996</v>
      </c>
    </row>
    <row r="49" spans="1:9" ht="25.5">
      <c r="A49" s="54" t="s">
        <v>14</v>
      </c>
      <c r="B49" s="33">
        <f>SUM(B50:B52)</f>
        <v>33900</v>
      </c>
      <c r="C49" s="33">
        <f>SUM(C50:C52)</f>
        <v>0</v>
      </c>
      <c r="D49" s="33">
        <f>SUM(D50:D52)</f>
        <v>1748.9</v>
      </c>
      <c r="E49" s="25">
        <f t="shared" si="0"/>
        <v>5.158997050147493</v>
      </c>
      <c r="F49" s="25">
        <v>585.5</v>
      </c>
      <c r="G49" s="33">
        <v>1468.4</v>
      </c>
      <c r="H49" s="25">
        <f t="shared" si="1"/>
        <v>0</v>
      </c>
      <c r="I49" s="33">
        <f>D49-май!D49</f>
        <v>399.6200000000001</v>
      </c>
    </row>
    <row r="50" spans="1:9" ht="12.75">
      <c r="A50" s="51" t="s">
        <v>94</v>
      </c>
      <c r="B50" s="27">
        <v>0</v>
      </c>
      <c r="C50" s="27">
        <v>0</v>
      </c>
      <c r="D50" s="27">
        <v>0</v>
      </c>
      <c r="E50" s="25">
        <v>0</v>
      </c>
      <c r="F50" s="25">
        <v>0</v>
      </c>
      <c r="G50" s="27">
        <v>0</v>
      </c>
      <c r="H50" s="25" t="s">
        <v>148</v>
      </c>
      <c r="I50" s="33">
        <f>D50-май!D50</f>
        <v>0</v>
      </c>
    </row>
    <row r="51" spans="1:9" ht="76.5">
      <c r="A51" s="51" t="s">
        <v>95</v>
      </c>
      <c r="B51" s="27">
        <v>32500</v>
      </c>
      <c r="C51" s="27">
        <v>0</v>
      </c>
      <c r="D51" s="27">
        <v>0</v>
      </c>
      <c r="E51" s="25">
        <f t="shared" si="0"/>
        <v>0</v>
      </c>
      <c r="F51" s="25">
        <v>37.14</v>
      </c>
      <c r="G51" s="83">
        <v>0</v>
      </c>
      <c r="H51" s="25" t="s">
        <v>148</v>
      </c>
      <c r="I51" s="33">
        <f>D51-май!D51</f>
        <v>0</v>
      </c>
    </row>
    <row r="52" spans="1:9" ht="17.25" customHeight="1">
      <c r="A52" s="51" t="s">
        <v>93</v>
      </c>
      <c r="B52" s="27">
        <v>1400</v>
      </c>
      <c r="C52" s="27">
        <v>0</v>
      </c>
      <c r="D52" s="27">
        <v>1748.9</v>
      </c>
      <c r="E52" s="27">
        <f t="shared" si="0"/>
        <v>124.92142857142858</v>
      </c>
      <c r="F52" s="27">
        <v>548.36</v>
      </c>
      <c r="G52" s="27">
        <v>1468.4</v>
      </c>
      <c r="H52" s="25">
        <f t="shared" si="1"/>
        <v>0</v>
      </c>
      <c r="I52" s="33">
        <f>D52-май!D52</f>
        <v>399.6200000000001</v>
      </c>
    </row>
    <row r="53" spans="1:9" ht="12.75">
      <c r="A53" s="54" t="s">
        <v>15</v>
      </c>
      <c r="B53" s="33">
        <v>-1455.1</v>
      </c>
      <c r="C53" s="33">
        <v>-3458</v>
      </c>
      <c r="D53" s="33">
        <v>-2815.14</v>
      </c>
      <c r="E53" s="26">
        <f t="shared" si="0"/>
        <v>193.4671156621538</v>
      </c>
      <c r="F53" s="26">
        <v>179.73</v>
      </c>
      <c r="G53" s="26">
        <v>3811.9</v>
      </c>
      <c r="H53" s="25">
        <f t="shared" si="1"/>
        <v>-90.71591594742779</v>
      </c>
      <c r="I53" s="33">
        <f>D53-май!D53</f>
        <v>265.1800000000003</v>
      </c>
    </row>
    <row r="54" spans="1:9" ht="63.75" hidden="1">
      <c r="A54" s="51" t="s">
        <v>126</v>
      </c>
      <c r="B54" s="33">
        <v>223.07</v>
      </c>
      <c r="C54" s="33">
        <v>20</v>
      </c>
      <c r="D54" s="33"/>
      <c r="E54" s="26">
        <f t="shared" si="0"/>
        <v>0</v>
      </c>
      <c r="F54" s="26"/>
      <c r="G54" s="26"/>
      <c r="H54" s="25" t="e">
        <f t="shared" si="1"/>
        <v>#DIV/0!</v>
      </c>
      <c r="I54" s="33">
        <f>D54-май!D54</f>
        <v>0</v>
      </c>
    </row>
    <row r="55" spans="1:9" ht="89.25" hidden="1">
      <c r="A55" s="51" t="s">
        <v>127</v>
      </c>
      <c r="B55" s="33">
        <v>223.07</v>
      </c>
      <c r="C55" s="33">
        <v>20</v>
      </c>
      <c r="D55" s="33"/>
      <c r="E55" s="26">
        <f t="shared" si="0"/>
        <v>0</v>
      </c>
      <c r="F55" s="26"/>
      <c r="G55" s="26"/>
      <c r="H55" s="25" t="e">
        <f t="shared" si="1"/>
        <v>#DIV/0!</v>
      </c>
      <c r="I55" s="33">
        <f>D55-май!D55</f>
        <v>0</v>
      </c>
    </row>
    <row r="56" spans="1:9" ht="63.75" hidden="1">
      <c r="A56" s="51" t="s">
        <v>128</v>
      </c>
      <c r="B56" s="33">
        <v>223.07</v>
      </c>
      <c r="C56" s="33">
        <v>20</v>
      </c>
      <c r="D56" s="33"/>
      <c r="E56" s="26">
        <f t="shared" si="0"/>
        <v>0</v>
      </c>
      <c r="F56" s="26"/>
      <c r="G56" s="26"/>
      <c r="H56" s="25" t="e">
        <f t="shared" si="1"/>
        <v>#DIV/0!</v>
      </c>
      <c r="I56" s="33">
        <f>D56-май!D56</f>
        <v>0</v>
      </c>
    </row>
    <row r="57" spans="1:9" ht="29.25" customHeight="1" hidden="1">
      <c r="A57" s="51" t="s">
        <v>129</v>
      </c>
      <c r="B57" s="33">
        <v>223.07</v>
      </c>
      <c r="C57" s="33">
        <v>20</v>
      </c>
      <c r="D57" s="33"/>
      <c r="E57" s="26">
        <f t="shared" si="0"/>
        <v>0</v>
      </c>
      <c r="F57" s="26"/>
      <c r="G57" s="26"/>
      <c r="H57" s="25" t="e">
        <f t="shared" si="1"/>
        <v>#DIV/0!</v>
      </c>
      <c r="I57" s="33">
        <f>D57-май!D57</f>
        <v>0</v>
      </c>
    </row>
    <row r="58" spans="1:9" ht="38.25" customHeight="1" hidden="1">
      <c r="A58" s="51" t="s">
        <v>130</v>
      </c>
      <c r="B58" s="33">
        <v>223.07</v>
      </c>
      <c r="C58" s="33">
        <v>20</v>
      </c>
      <c r="D58" s="33"/>
      <c r="E58" s="26">
        <f t="shared" si="0"/>
        <v>0</v>
      </c>
      <c r="F58" s="26"/>
      <c r="G58" s="26"/>
      <c r="H58" s="25" t="e">
        <f t="shared" si="1"/>
        <v>#DIV/0!</v>
      </c>
      <c r="I58" s="33">
        <f>D58-май!D58</f>
        <v>0</v>
      </c>
    </row>
    <row r="59" spans="1:9" ht="43.5" customHeight="1" hidden="1">
      <c r="A59" s="51" t="s">
        <v>131</v>
      </c>
      <c r="B59" s="33">
        <v>223.07</v>
      </c>
      <c r="C59" s="33">
        <v>20</v>
      </c>
      <c r="D59" s="33"/>
      <c r="E59" s="26">
        <f t="shared" si="0"/>
        <v>0</v>
      </c>
      <c r="F59" s="26"/>
      <c r="G59" s="26"/>
      <c r="H59" s="25" t="e">
        <f t="shared" si="1"/>
        <v>#DIV/0!</v>
      </c>
      <c r="I59" s="33">
        <f>D59-май!D59</f>
        <v>0</v>
      </c>
    </row>
    <row r="60" spans="1:9" ht="40.5" customHeight="1" hidden="1">
      <c r="A60" s="51" t="s">
        <v>132</v>
      </c>
      <c r="B60" s="33">
        <v>223.07</v>
      </c>
      <c r="C60" s="33">
        <v>20</v>
      </c>
      <c r="D60" s="33"/>
      <c r="E60" s="26">
        <f t="shared" si="0"/>
        <v>0</v>
      </c>
      <c r="F60" s="26"/>
      <c r="G60" s="26"/>
      <c r="H60" s="25" t="e">
        <f t="shared" si="1"/>
        <v>#DIV/0!</v>
      </c>
      <c r="I60" s="33">
        <f>D60-май!D60</f>
        <v>0</v>
      </c>
    </row>
    <row r="61" spans="1:9" ht="51" hidden="1">
      <c r="A61" s="51" t="s">
        <v>133</v>
      </c>
      <c r="B61" s="33">
        <v>223.07</v>
      </c>
      <c r="C61" s="33">
        <v>20</v>
      </c>
      <c r="D61" s="33"/>
      <c r="E61" s="26">
        <f t="shared" si="0"/>
        <v>0</v>
      </c>
      <c r="F61" s="26"/>
      <c r="G61" s="33"/>
      <c r="H61" s="25" t="e">
        <f t="shared" si="1"/>
        <v>#DIV/0!</v>
      </c>
      <c r="I61" s="33">
        <f>D61-май!D61</f>
        <v>0</v>
      </c>
    </row>
    <row r="62" spans="1:9" ht="76.5" hidden="1">
      <c r="A62" s="51" t="s">
        <v>134</v>
      </c>
      <c r="B62" s="33">
        <v>223.07</v>
      </c>
      <c r="C62" s="33">
        <v>20</v>
      </c>
      <c r="D62" s="33"/>
      <c r="E62" s="26">
        <f t="shared" si="0"/>
        <v>0</v>
      </c>
      <c r="F62" s="26"/>
      <c r="G62" s="33"/>
      <c r="H62" s="25" t="e">
        <f t="shared" si="1"/>
        <v>#DIV/0!</v>
      </c>
      <c r="I62" s="33">
        <f>D62-май!D62</f>
        <v>0</v>
      </c>
    </row>
    <row r="63" spans="1:9" ht="12.75" hidden="1">
      <c r="A63" s="51" t="s">
        <v>135</v>
      </c>
      <c r="B63" s="33">
        <v>223.07</v>
      </c>
      <c r="C63" s="33">
        <v>20</v>
      </c>
      <c r="D63" s="33"/>
      <c r="E63" s="26">
        <f t="shared" si="0"/>
        <v>0</v>
      </c>
      <c r="F63" s="26"/>
      <c r="G63" s="103"/>
      <c r="H63" s="25" t="e">
        <f t="shared" si="1"/>
        <v>#DIV/0!</v>
      </c>
      <c r="I63" s="33">
        <f>D63-май!D63</f>
        <v>0</v>
      </c>
    </row>
    <row r="64" spans="1:9" ht="12.75">
      <c r="A64" s="47" t="s">
        <v>16</v>
      </c>
      <c r="B64" s="33">
        <v>-1089.27</v>
      </c>
      <c r="C64" s="33">
        <v>-1094.87</v>
      </c>
      <c r="D64" s="33">
        <v>-595.6</v>
      </c>
      <c r="E64" s="26">
        <f t="shared" si="0"/>
        <v>54.67882159611484</v>
      </c>
      <c r="F64" s="26">
        <v>-38.79</v>
      </c>
      <c r="G64" s="26">
        <v>0</v>
      </c>
      <c r="H64" s="25" t="s">
        <v>148</v>
      </c>
      <c r="I64" s="33">
        <f>D64-май!D64</f>
        <v>-1128.67</v>
      </c>
    </row>
    <row r="65" spans="1:9" ht="12.75">
      <c r="A65" s="54" t="s">
        <v>17</v>
      </c>
      <c r="B65" s="26">
        <f>B64+B53+B49+B48+B47+B38+B30+B27+B22+B17+B8</f>
        <v>722378.1900000001</v>
      </c>
      <c r="C65" s="26">
        <f>C64+C53+C49+C48+C47+C38+C30+C27+C22+C17+C8</f>
        <v>286108.39</v>
      </c>
      <c r="D65" s="26">
        <f>D64+D53+D49+D48+D47+D38+D30+D27+D22+D17+D8+D37</f>
        <v>309849.86</v>
      </c>
      <c r="E65" s="26">
        <f t="shared" si="0"/>
        <v>42.893025327910294</v>
      </c>
      <c r="F65" s="26">
        <v>27699.089999999997</v>
      </c>
      <c r="G65" s="26">
        <v>332804.8</v>
      </c>
      <c r="H65" s="25">
        <f t="shared" si="1"/>
        <v>85.96882917554073</v>
      </c>
      <c r="I65" s="33">
        <f>D65-май!D65</f>
        <v>55672.58999999997</v>
      </c>
    </row>
    <row r="66" spans="1:9" ht="12.75">
      <c r="A66" s="54" t="s">
        <v>18</v>
      </c>
      <c r="B66" s="26">
        <f>B67+B72+B73</f>
        <v>3712604.59</v>
      </c>
      <c r="C66" s="26">
        <f>C67+C72+C73</f>
        <v>2123171.96</v>
      </c>
      <c r="D66" s="26">
        <f>D67+D72+D73</f>
        <v>1440637.6</v>
      </c>
      <c r="E66" s="26">
        <f t="shared" si="0"/>
        <v>38.803959998336374</v>
      </c>
      <c r="F66" s="26">
        <v>43822.57000000001</v>
      </c>
      <c r="G66" s="27">
        <v>960593.1</v>
      </c>
      <c r="H66" s="25">
        <f t="shared" si="1"/>
        <v>221.02719247098483</v>
      </c>
      <c r="I66" s="33">
        <f>D66-май!D66</f>
        <v>368418.11000000034</v>
      </c>
    </row>
    <row r="67" spans="1:9" ht="25.5">
      <c r="A67" s="54" t="s">
        <v>19</v>
      </c>
      <c r="B67" s="26">
        <f>SUM(B68:B71)</f>
        <v>3720984.84</v>
      </c>
      <c r="C67" s="26">
        <f>SUM(C68:C71)</f>
        <v>2131552.2</v>
      </c>
      <c r="D67" s="26">
        <f>SUM(D68:D71)</f>
        <v>1450469.5</v>
      </c>
      <c r="E67" s="26">
        <f t="shared" si="0"/>
        <v>38.98079574008692</v>
      </c>
      <c r="F67" s="26">
        <v>46091.770000000004</v>
      </c>
      <c r="G67" s="27">
        <v>978966</v>
      </c>
      <c r="H67" s="25">
        <f t="shared" si="1"/>
        <v>217.73505923596937</v>
      </c>
      <c r="I67" s="33">
        <f>D67-май!D67</f>
        <v>368499.9500000002</v>
      </c>
    </row>
    <row r="68" spans="1:9" ht="12.75">
      <c r="A68" s="51" t="s">
        <v>108</v>
      </c>
      <c r="B68" s="27">
        <v>578714.4</v>
      </c>
      <c r="C68" s="27">
        <v>427190.4</v>
      </c>
      <c r="D68" s="27">
        <v>389645.7</v>
      </c>
      <c r="E68" s="25">
        <f t="shared" si="0"/>
        <v>67.329532494785</v>
      </c>
      <c r="F68" s="25">
        <v>15902.8</v>
      </c>
      <c r="G68" s="27">
        <v>224586.1</v>
      </c>
      <c r="H68" s="25">
        <f t="shared" si="1"/>
        <v>190.21230610442944</v>
      </c>
      <c r="I68" s="33">
        <f>D68-май!D68</f>
        <v>100003.60000000003</v>
      </c>
    </row>
    <row r="69" spans="1:9" ht="12.75" customHeight="1">
      <c r="A69" s="51" t="s">
        <v>109</v>
      </c>
      <c r="B69" s="27">
        <v>1742708.5</v>
      </c>
      <c r="C69" s="27">
        <v>974307.8</v>
      </c>
      <c r="D69" s="27">
        <v>342890</v>
      </c>
      <c r="E69" s="25">
        <f t="shared" si="0"/>
        <v>19.675694472139202</v>
      </c>
      <c r="F69" s="25">
        <v>0</v>
      </c>
      <c r="G69" s="27">
        <v>169480.2</v>
      </c>
      <c r="H69" s="25">
        <f t="shared" si="1"/>
        <v>574.8800154826346</v>
      </c>
      <c r="I69" s="33">
        <f>D69-май!D69</f>
        <v>84579.37</v>
      </c>
    </row>
    <row r="70" spans="1:9" ht="18.75" customHeight="1">
      <c r="A70" s="51" t="s">
        <v>110</v>
      </c>
      <c r="B70" s="27">
        <v>1338463.1</v>
      </c>
      <c r="C70" s="27">
        <v>695527.3</v>
      </c>
      <c r="D70" s="27">
        <v>687206.7</v>
      </c>
      <c r="E70" s="25">
        <f t="shared" si="0"/>
        <v>51.34296941021385</v>
      </c>
      <c r="F70" s="25">
        <v>30188.97</v>
      </c>
      <c r="G70" s="34">
        <v>558398.6</v>
      </c>
      <c r="H70" s="25">
        <f t="shared" si="1"/>
        <v>124.55749351807115</v>
      </c>
      <c r="I70" s="33">
        <f>D70-май!D70</f>
        <v>177036.02999999997</v>
      </c>
    </row>
    <row r="71" spans="1:9" ht="12.75" customHeight="1">
      <c r="A71" s="2" t="s">
        <v>122</v>
      </c>
      <c r="B71" s="27">
        <v>61098.84</v>
      </c>
      <c r="C71" s="27">
        <v>34526.7</v>
      </c>
      <c r="D71" s="27">
        <v>30727.1</v>
      </c>
      <c r="E71" s="25">
        <f t="shared" si="0"/>
        <v>50.29080748505209</v>
      </c>
      <c r="F71" s="25">
        <v>0</v>
      </c>
      <c r="G71" s="83">
        <v>26501.1</v>
      </c>
      <c r="H71" s="25" t="s">
        <v>148</v>
      </c>
      <c r="I71" s="33">
        <f>D71-май!D71</f>
        <v>6880.949999999997</v>
      </c>
    </row>
    <row r="72" spans="1:9" ht="12.75" customHeight="1">
      <c r="A72" s="54" t="s">
        <v>113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34">
        <v>0</v>
      </c>
      <c r="H72" s="25" t="s">
        <v>148</v>
      </c>
      <c r="I72" s="33">
        <f>D72-май!D72</f>
        <v>0</v>
      </c>
    </row>
    <row r="73" spans="1:13" ht="25.5">
      <c r="A73" s="54" t="s">
        <v>21</v>
      </c>
      <c r="B73" s="27">
        <v>-8380.25</v>
      </c>
      <c r="C73" s="27">
        <v>-8380.239999999998</v>
      </c>
      <c r="D73" s="27">
        <v>-9831.9</v>
      </c>
      <c r="E73" s="26">
        <f t="shared" si="0"/>
        <v>117.32227558843708</v>
      </c>
      <c r="F73" s="26">
        <v>-2269.2</v>
      </c>
      <c r="G73" s="26">
        <v>-18372.9</v>
      </c>
      <c r="H73" s="25">
        <f t="shared" si="1"/>
        <v>45.611961094873415</v>
      </c>
      <c r="I73" s="33">
        <f>D73-май!D73</f>
        <v>-81.84000000000015</v>
      </c>
      <c r="K73" s="98"/>
      <c r="L73" s="98"/>
      <c r="M73" s="98"/>
    </row>
    <row r="74" spans="1:9" ht="12.75">
      <c r="A74" s="47" t="s">
        <v>20</v>
      </c>
      <c r="B74" s="26">
        <f>B65+B66</f>
        <v>4434982.78</v>
      </c>
      <c r="C74" s="26">
        <f>C65+C66-0.01</f>
        <v>2409280.3400000003</v>
      </c>
      <c r="D74" s="26">
        <f>D65+D66</f>
        <v>1750487.46</v>
      </c>
      <c r="E74" s="25">
        <f>D74/B74*100</f>
        <v>39.46999451483777</v>
      </c>
      <c r="F74" s="25">
        <v>71521.66</v>
      </c>
      <c r="G74" s="33">
        <v>1293397.9</v>
      </c>
      <c r="H74" s="25">
        <f>C74/G74*100</f>
        <v>186.27526301071003</v>
      </c>
      <c r="I74" s="33">
        <f>D74-май!D74</f>
        <v>424090.7000000002</v>
      </c>
    </row>
    <row r="75" spans="1:9" ht="12.75" hidden="1">
      <c r="A75" s="54"/>
      <c r="B75" s="61"/>
      <c r="C75" s="61"/>
      <c r="D75" s="61"/>
      <c r="E75" s="45"/>
      <c r="F75" s="45"/>
      <c r="G75" s="61"/>
      <c r="H75" s="45"/>
      <c r="I75" s="61"/>
    </row>
    <row r="76" spans="1:9" ht="12.75" hidden="1">
      <c r="A76" s="54"/>
      <c r="B76" s="56"/>
      <c r="C76" s="56"/>
      <c r="D76" s="56"/>
      <c r="E76" s="45"/>
      <c r="F76" s="45"/>
      <c r="G76" s="56"/>
      <c r="H76" s="45"/>
      <c r="I76" s="56"/>
    </row>
    <row r="77" spans="1:9" ht="12.75" hidden="1">
      <c r="A77" s="47"/>
      <c r="B77" s="57"/>
      <c r="C77" s="57"/>
      <c r="D77" s="57"/>
      <c r="E77" s="45"/>
      <c r="F77" s="45"/>
      <c r="G77" s="57"/>
      <c r="H77" s="45"/>
      <c r="I77" s="57"/>
    </row>
    <row r="78" spans="1:9" ht="12.75" hidden="1">
      <c r="A78" s="89"/>
      <c r="B78" s="33"/>
      <c r="C78" s="33"/>
      <c r="D78" s="33"/>
      <c r="E78" s="25"/>
      <c r="F78" s="25"/>
      <c r="G78" s="33"/>
      <c r="H78" s="25"/>
      <c r="I78" s="33"/>
    </row>
    <row r="79" spans="1:9" ht="12.75">
      <c r="A79" s="121" t="s">
        <v>22</v>
      </c>
      <c r="B79" s="121"/>
      <c r="C79" s="121"/>
      <c r="D79" s="121"/>
      <c r="E79" s="121"/>
      <c r="F79" s="121"/>
      <c r="G79" s="121"/>
      <c r="H79" s="121"/>
      <c r="I79" s="121"/>
    </row>
    <row r="80" spans="1:9" ht="12.75">
      <c r="A80" s="7" t="s">
        <v>23</v>
      </c>
      <c r="B80" s="33">
        <f>B81+B82+B83+B84+B85+B86+B87+B88</f>
        <v>611343.5</v>
      </c>
      <c r="C80" s="33">
        <f>C81+C82+C83+C84+C85+C86+C87+C88</f>
        <v>163098.94</v>
      </c>
      <c r="D80" s="33">
        <f>D81+D82+D83+D84+D85+D86+D87+D88</f>
        <v>162801.64</v>
      </c>
      <c r="E80" s="25">
        <f>$D:$D/$B:$B*100</f>
        <v>26.630141647044585</v>
      </c>
      <c r="F80" s="25">
        <f>$D:$D/$C:$C*100</f>
        <v>99.81771800601526</v>
      </c>
      <c r="G80" s="33">
        <f>G81+G82+G83+G84+G85+G86+G87+G88</f>
        <v>80199.3</v>
      </c>
      <c r="H80" s="25">
        <f>$D:$D/$G:$G*100</f>
        <v>202.99633537948586</v>
      </c>
      <c r="I80" s="33">
        <f>D80-май!D80</f>
        <v>31469.800000000017</v>
      </c>
    </row>
    <row r="81" spans="1:9" ht="14.25" customHeight="1">
      <c r="A81" s="8" t="s">
        <v>24</v>
      </c>
      <c r="B81" s="27">
        <v>3197.2</v>
      </c>
      <c r="C81" s="27">
        <v>1690.4</v>
      </c>
      <c r="D81" s="27">
        <v>1690.4</v>
      </c>
      <c r="E81" s="28">
        <f>$D:$D/$B:$B*100</f>
        <v>52.871262354560244</v>
      </c>
      <c r="F81" s="28">
        <v>0</v>
      </c>
      <c r="G81" s="104">
        <v>1062.9</v>
      </c>
      <c r="H81" s="28">
        <f aca="true" t="shared" si="2" ref="H81:H129">$D:$D/$G:$G*100</f>
        <v>159.03659798664032</v>
      </c>
      <c r="I81" s="33">
        <f>D81-май!D81</f>
        <v>417.8000000000002</v>
      </c>
    </row>
    <row r="82" spans="1:9" ht="12.75">
      <c r="A82" s="8" t="s">
        <v>25</v>
      </c>
      <c r="B82" s="27">
        <v>7698.8</v>
      </c>
      <c r="C82" s="27">
        <v>3589.1</v>
      </c>
      <c r="D82" s="27">
        <v>3589.1</v>
      </c>
      <c r="E82" s="28">
        <f>$D:$D/$B:$B*100</f>
        <v>46.61895360315893</v>
      </c>
      <c r="F82" s="28">
        <f>$D:$D/$C:$C*100</f>
        <v>100</v>
      </c>
      <c r="G82" s="104">
        <v>2860.6</v>
      </c>
      <c r="H82" s="28">
        <f t="shared" si="2"/>
        <v>125.46668531077397</v>
      </c>
      <c r="I82" s="33">
        <f>D82-май!D82</f>
        <v>947.2999999999997</v>
      </c>
    </row>
    <row r="83" spans="1:9" ht="25.5">
      <c r="A83" s="8" t="s">
        <v>26</v>
      </c>
      <c r="B83" s="27">
        <v>70689.2</v>
      </c>
      <c r="C83" s="27">
        <v>33751</v>
      </c>
      <c r="D83" s="27">
        <v>33610.3</v>
      </c>
      <c r="E83" s="28">
        <f>$D:$D/$B:$B*100</f>
        <v>47.54658420239585</v>
      </c>
      <c r="F83" s="28">
        <f>$D:$D/$C:$C*100</f>
        <v>99.58312346300852</v>
      </c>
      <c r="G83" s="104">
        <v>27713.6</v>
      </c>
      <c r="H83" s="28">
        <f t="shared" si="2"/>
        <v>121.27727902546044</v>
      </c>
      <c r="I83" s="33">
        <f>D83-май!D83</f>
        <v>7525.500000000004</v>
      </c>
    </row>
    <row r="84" spans="1:9" ht="12.75">
      <c r="A84" s="8" t="s">
        <v>72</v>
      </c>
      <c r="B84" s="27">
        <v>4</v>
      </c>
      <c r="C84" s="27">
        <v>3.84</v>
      </c>
      <c r="D84" s="27">
        <v>3.84</v>
      </c>
      <c r="E84" s="28">
        <v>0</v>
      </c>
      <c r="F84" s="28">
        <v>0</v>
      </c>
      <c r="G84" s="104">
        <v>170</v>
      </c>
      <c r="H84" s="28">
        <f t="shared" si="2"/>
        <v>2.2588235294117647</v>
      </c>
      <c r="I84" s="33">
        <f>D84-май!D84</f>
        <v>0</v>
      </c>
    </row>
    <row r="85" spans="1:9" ht="25.5">
      <c r="A85" s="1" t="s">
        <v>27</v>
      </c>
      <c r="B85" s="27">
        <v>18122.5</v>
      </c>
      <c r="C85" s="27">
        <v>7954.7</v>
      </c>
      <c r="D85" s="27">
        <v>7938</v>
      </c>
      <c r="E85" s="28">
        <f>$D:$D/$B:$B*100</f>
        <v>43.80190371085667</v>
      </c>
      <c r="F85" s="28">
        <v>0</v>
      </c>
      <c r="G85" s="104">
        <v>6788.8</v>
      </c>
      <c r="H85" s="28">
        <f t="shared" si="2"/>
        <v>116.92788121612068</v>
      </c>
      <c r="I85" s="33">
        <f>D85-май!D85</f>
        <v>1666.1999999999998</v>
      </c>
    </row>
    <row r="86" spans="1:9" ht="12.75" hidden="1">
      <c r="A86" s="8" t="s">
        <v>28</v>
      </c>
      <c r="B86" s="27">
        <v>0</v>
      </c>
      <c r="C86" s="27">
        <v>0</v>
      </c>
      <c r="D86" s="27">
        <v>0</v>
      </c>
      <c r="E86" s="28">
        <v>0</v>
      </c>
      <c r="F86" s="28">
        <v>0</v>
      </c>
      <c r="G86" s="104">
        <v>8500</v>
      </c>
      <c r="H86" s="28">
        <f t="shared" si="2"/>
        <v>0</v>
      </c>
      <c r="I86" s="33">
        <f>D86-май!D86</f>
        <v>0</v>
      </c>
    </row>
    <row r="87" spans="1:9" ht="12.75">
      <c r="A87" s="8" t="s">
        <v>29</v>
      </c>
      <c r="B87" s="27">
        <v>3300.2</v>
      </c>
      <c r="C87" s="27">
        <v>0</v>
      </c>
      <c r="D87" s="27">
        <v>0</v>
      </c>
      <c r="E87" s="28">
        <f>$D:$D/$B:$B*100</f>
        <v>0</v>
      </c>
      <c r="F87" s="28">
        <v>0</v>
      </c>
      <c r="G87" s="104">
        <v>0</v>
      </c>
      <c r="H87" s="28">
        <v>0</v>
      </c>
      <c r="I87" s="33">
        <f>D87-май!D87</f>
        <v>0</v>
      </c>
    </row>
    <row r="88" spans="1:9" ht="12.75">
      <c r="A88" s="1" t="s">
        <v>30</v>
      </c>
      <c r="B88" s="27">
        <v>508331.6</v>
      </c>
      <c r="C88" s="27">
        <v>116109.9</v>
      </c>
      <c r="D88" s="27">
        <v>115970</v>
      </c>
      <c r="E88" s="28">
        <f>$D:$D/$B:$B*100</f>
        <v>22.81384828328595</v>
      </c>
      <c r="F88" s="28">
        <f>$D:$D/$C:$C*100</f>
        <v>99.8795107049442</v>
      </c>
      <c r="G88" s="104">
        <v>33103.4</v>
      </c>
      <c r="H88" s="28">
        <f t="shared" si="2"/>
        <v>350.3265525595558</v>
      </c>
      <c r="I88" s="33">
        <f>D88-май!D88</f>
        <v>20913</v>
      </c>
    </row>
    <row r="89" spans="1:9" ht="12.75">
      <c r="A89" s="7" t="s">
        <v>31</v>
      </c>
      <c r="B89" s="26">
        <v>527.7</v>
      </c>
      <c r="C89" s="26">
        <v>277.6</v>
      </c>
      <c r="D89" s="26">
        <v>277.6</v>
      </c>
      <c r="E89" s="25">
        <f>$D:$D/$B:$B*100</f>
        <v>52.605647148000756</v>
      </c>
      <c r="F89" s="25">
        <f>$D:$D/$C:$C*100</f>
        <v>100</v>
      </c>
      <c r="G89" s="105">
        <v>241.9</v>
      </c>
      <c r="H89" s="25">
        <f t="shared" si="2"/>
        <v>114.75816453079786</v>
      </c>
      <c r="I89" s="33">
        <f>D89-май!D89</f>
        <v>33.80000000000001</v>
      </c>
    </row>
    <row r="90" spans="1:9" ht="25.5">
      <c r="A90" s="9" t="s">
        <v>32</v>
      </c>
      <c r="B90" s="26">
        <v>36812.7</v>
      </c>
      <c r="C90" s="26">
        <v>13847.8</v>
      </c>
      <c r="D90" s="26">
        <v>13826.7</v>
      </c>
      <c r="E90" s="25">
        <f>$D:$D/$B:$B*100</f>
        <v>37.55959220595067</v>
      </c>
      <c r="F90" s="25">
        <f>$D:$D/$C:$C*100</f>
        <v>99.8476292263031</v>
      </c>
      <c r="G90" s="105">
        <v>2972.7</v>
      </c>
      <c r="H90" s="25">
        <f t="shared" si="2"/>
        <v>465.1226158038147</v>
      </c>
      <c r="I90" s="33">
        <f>D90-май!D90</f>
        <v>8820.2</v>
      </c>
    </row>
    <row r="91" spans="1:9" ht="12.75">
      <c r="A91" s="7" t="s">
        <v>33</v>
      </c>
      <c r="B91" s="33">
        <f>B92+B93+B94+B95+B96</f>
        <v>622909.7000000001</v>
      </c>
      <c r="C91" s="33">
        <f>C92+C93+C94+C95+C96</f>
        <v>65668.2</v>
      </c>
      <c r="D91" s="33">
        <f>D92+D93+D94+D95+D96</f>
        <v>65624.1</v>
      </c>
      <c r="E91" s="33">
        <f>E92+E93+E94+E95</f>
        <v>40.69939718145029</v>
      </c>
      <c r="F91" s="33">
        <f>F92+F93+F94+F95</f>
        <v>200</v>
      </c>
      <c r="G91" s="33">
        <f>G92+G93+G94+G95+G96</f>
        <v>43237.899999999994</v>
      </c>
      <c r="H91" s="25">
        <f t="shared" si="2"/>
        <v>151.77448488478862</v>
      </c>
      <c r="I91" s="33">
        <f>D91-май!D91</f>
        <v>10933.600000000006</v>
      </c>
    </row>
    <row r="92" spans="1:9" ht="12.75" customHeight="1" hidden="1">
      <c r="A92" s="10" t="s">
        <v>64</v>
      </c>
      <c r="B92" s="27">
        <v>0</v>
      </c>
      <c r="C92" s="27">
        <v>0</v>
      </c>
      <c r="D92" s="27">
        <v>0</v>
      </c>
      <c r="E92" s="28">
        <v>0</v>
      </c>
      <c r="F92" s="28">
        <v>0</v>
      </c>
      <c r="G92" s="34">
        <v>0</v>
      </c>
      <c r="H92" s="28" t="e">
        <f t="shared" si="2"/>
        <v>#DIV/0!</v>
      </c>
      <c r="I92" s="33">
        <f>D92-май!D92</f>
        <v>-16.5</v>
      </c>
    </row>
    <row r="93" spans="1:9" ht="12.75">
      <c r="A93" s="10" t="s">
        <v>67</v>
      </c>
      <c r="B93" s="27">
        <v>13452.3</v>
      </c>
      <c r="C93" s="27">
        <v>16.5</v>
      </c>
      <c r="D93" s="27">
        <v>16.5</v>
      </c>
      <c r="E93" s="28">
        <f>$D:$D/$B:$B*100</f>
        <v>0.122655605361165</v>
      </c>
      <c r="F93" s="28">
        <v>0</v>
      </c>
      <c r="G93" s="104">
        <v>0</v>
      </c>
      <c r="H93" s="28">
        <v>0</v>
      </c>
      <c r="I93" s="33">
        <f>D93-май!D93</f>
        <v>-9514.5</v>
      </c>
    </row>
    <row r="94" spans="1:9" ht="12.75">
      <c r="A94" s="8" t="s">
        <v>34</v>
      </c>
      <c r="B94" s="27">
        <v>29101</v>
      </c>
      <c r="C94" s="27">
        <v>9531</v>
      </c>
      <c r="D94" s="27">
        <v>9531</v>
      </c>
      <c r="E94" s="28">
        <f>$D:$D/$B:$B*100</f>
        <v>32.75145184014295</v>
      </c>
      <c r="F94" s="28">
        <f>$D:$D/$C:$C*100</f>
        <v>100</v>
      </c>
      <c r="G94" s="104">
        <v>11530.5</v>
      </c>
      <c r="H94" s="28">
        <f t="shared" si="2"/>
        <v>82.65903473396644</v>
      </c>
      <c r="I94" s="33">
        <f>D94-май!D94</f>
        <v>-28139.199999999997</v>
      </c>
    </row>
    <row r="95" spans="1:9" ht="12.75">
      <c r="A95" s="10" t="s">
        <v>77</v>
      </c>
      <c r="B95" s="27">
        <v>542537.1</v>
      </c>
      <c r="C95" s="27">
        <v>42455.1</v>
      </c>
      <c r="D95" s="27">
        <v>42455.1</v>
      </c>
      <c r="E95" s="28">
        <f>$D:$D/$B:$B*100</f>
        <v>7.825289735946169</v>
      </c>
      <c r="F95" s="28">
        <f>$D:$D/$C:$C*100</f>
        <v>100</v>
      </c>
      <c r="G95" s="104">
        <v>22453.1</v>
      </c>
      <c r="H95" s="28">
        <f t="shared" si="2"/>
        <v>189.08346731631713</v>
      </c>
      <c r="I95" s="33">
        <f>D95-май!D95</f>
        <v>34982.299999999996</v>
      </c>
    </row>
    <row r="96" spans="1:9" ht="12.75">
      <c r="A96" s="8" t="s">
        <v>35</v>
      </c>
      <c r="B96" s="27">
        <v>37819.3</v>
      </c>
      <c r="C96" s="27">
        <v>13665.6</v>
      </c>
      <c r="D96" s="27">
        <v>13621.5</v>
      </c>
      <c r="E96" s="28">
        <f>$D:$D/$B:$B*100</f>
        <v>36.017324487761535</v>
      </c>
      <c r="F96" s="28"/>
      <c r="G96" s="104">
        <v>9254.3</v>
      </c>
      <c r="H96" s="28">
        <f t="shared" si="2"/>
        <v>147.19103551862378</v>
      </c>
      <c r="I96" s="33">
        <f>D96-май!D96</f>
        <v>13621.5</v>
      </c>
    </row>
    <row r="97" spans="1:9" ht="12.75">
      <c r="A97" s="7" t="s">
        <v>36</v>
      </c>
      <c r="B97" s="33">
        <f>B99+B100+B101+B98</f>
        <v>495382.9</v>
      </c>
      <c r="C97" s="26">
        <f>C99+C100+C101+C98</f>
        <v>98861.2</v>
      </c>
      <c r="D97" s="33">
        <f>D99+D100+D101+D98</f>
        <v>98557.3</v>
      </c>
      <c r="E97" s="33">
        <f>E100+E101+E98</f>
        <v>57.66180007948046</v>
      </c>
      <c r="F97" s="25">
        <f>$D:$D/$C:$C*100</f>
        <v>99.69259932106833</v>
      </c>
      <c r="G97" s="33">
        <f>G99+G100+G101+G98</f>
        <v>61556.50000000001</v>
      </c>
      <c r="H97" s="25">
        <f t="shared" si="2"/>
        <v>160.1086806429865</v>
      </c>
      <c r="I97" s="33">
        <f>D97-май!D97</f>
        <v>38064.100000000006</v>
      </c>
    </row>
    <row r="98" spans="1:9" ht="12.75">
      <c r="A98" s="8" t="s">
        <v>37</v>
      </c>
      <c r="B98" s="27">
        <v>87067</v>
      </c>
      <c r="C98" s="27">
        <v>8517.8</v>
      </c>
      <c r="D98" s="27">
        <v>8517.8</v>
      </c>
      <c r="E98" s="43">
        <v>0</v>
      </c>
      <c r="F98" s="28">
        <v>0</v>
      </c>
      <c r="G98" s="104">
        <v>2239.4</v>
      </c>
      <c r="H98" s="28">
        <f t="shared" si="2"/>
        <v>380.36081093149943</v>
      </c>
      <c r="I98" s="33">
        <f>D98-май!D98</f>
        <v>2887.7999999999993</v>
      </c>
    </row>
    <row r="99" spans="1:9" ht="12.75">
      <c r="A99" s="8" t="s">
        <v>38</v>
      </c>
      <c r="B99" s="27">
        <v>3889.7</v>
      </c>
      <c r="C99" s="27">
        <v>168.3</v>
      </c>
      <c r="D99" s="27">
        <v>168.3</v>
      </c>
      <c r="E99" s="28">
        <f aca="true" t="shared" si="3" ref="E99:E104">$D:$D/$B:$B*100</f>
        <v>4.326811836388411</v>
      </c>
      <c r="F99" s="28">
        <v>0</v>
      </c>
      <c r="G99" s="104">
        <v>183.4</v>
      </c>
      <c r="H99" s="28">
        <f t="shared" si="2"/>
        <v>91.76663031624864</v>
      </c>
      <c r="I99" s="33">
        <f>D99-май!D99</f>
        <v>115.70000000000002</v>
      </c>
    </row>
    <row r="100" spans="1:9" ht="12.75">
      <c r="A100" s="8" t="s">
        <v>39</v>
      </c>
      <c r="B100" s="27">
        <v>296050.3</v>
      </c>
      <c r="C100" s="27">
        <v>43190.6</v>
      </c>
      <c r="D100" s="27">
        <v>43190.6</v>
      </c>
      <c r="E100" s="28">
        <f t="shared" si="3"/>
        <v>14.588939784894661</v>
      </c>
      <c r="F100" s="28">
        <f>$D:$D/$C:$C*100</f>
        <v>100</v>
      </c>
      <c r="G100" s="104">
        <v>18005.4</v>
      </c>
      <c r="H100" s="28">
        <f t="shared" si="2"/>
        <v>239.87581503326777</v>
      </c>
      <c r="I100" s="33">
        <f>D100-май!D100</f>
        <v>9404.400000000001</v>
      </c>
    </row>
    <row r="101" spans="1:9" ht="12.75">
      <c r="A101" s="8" t="s">
        <v>40</v>
      </c>
      <c r="B101" s="27">
        <v>108375.9</v>
      </c>
      <c r="C101" s="27">
        <v>46984.5</v>
      </c>
      <c r="D101" s="27">
        <v>46680.6</v>
      </c>
      <c r="E101" s="28">
        <f t="shared" si="3"/>
        <v>43.072860294585794</v>
      </c>
      <c r="F101" s="28">
        <f>$D:$D/$C:$C*100</f>
        <v>99.35319094595026</v>
      </c>
      <c r="G101" s="104">
        <v>41128.3</v>
      </c>
      <c r="H101" s="28">
        <f t="shared" si="2"/>
        <v>113.49995015597531</v>
      </c>
      <c r="I101" s="33">
        <f>D101-май!D101</f>
        <v>25656.199999999997</v>
      </c>
    </row>
    <row r="102" spans="1:9" ht="12.75">
      <c r="A102" s="11" t="s">
        <v>115</v>
      </c>
      <c r="B102" s="33">
        <f>B103+B104</f>
        <v>14100.3</v>
      </c>
      <c r="C102" s="33">
        <f>C103+C104</f>
        <v>1391.2</v>
      </c>
      <c r="D102" s="33">
        <f>D103+D104</f>
        <v>1391.2</v>
      </c>
      <c r="E102" s="25">
        <f t="shared" si="3"/>
        <v>9.866456742055133</v>
      </c>
      <c r="F102" s="25"/>
      <c r="G102" s="33">
        <f>G103+G104</f>
        <v>409.8</v>
      </c>
      <c r="H102" s="25">
        <f t="shared" si="2"/>
        <v>339.48267447535386</v>
      </c>
      <c r="I102" s="33">
        <f>D102-май!D102</f>
        <v>324.4000000000001</v>
      </c>
    </row>
    <row r="103" spans="1:9" ht="25.5">
      <c r="A103" s="39" t="s">
        <v>143</v>
      </c>
      <c r="B103" s="27">
        <v>2094</v>
      </c>
      <c r="C103" s="27">
        <v>1391.2</v>
      </c>
      <c r="D103" s="27">
        <v>1391.2</v>
      </c>
      <c r="E103" s="28">
        <f t="shared" si="3"/>
        <v>66.43744030563515</v>
      </c>
      <c r="F103" s="28"/>
      <c r="G103" s="104">
        <v>409.8</v>
      </c>
      <c r="H103" s="28">
        <f t="shared" si="2"/>
        <v>339.48267447535386</v>
      </c>
      <c r="I103" s="33">
        <f>D103-май!D103</f>
        <v>324.4000000000001</v>
      </c>
    </row>
    <row r="104" spans="1:9" ht="25.5">
      <c r="A104" s="8" t="s">
        <v>165</v>
      </c>
      <c r="B104" s="27">
        <v>12006.3</v>
      </c>
      <c r="C104" s="27">
        <v>0</v>
      </c>
      <c r="D104" s="27">
        <v>0</v>
      </c>
      <c r="E104" s="28">
        <f t="shared" si="3"/>
        <v>0</v>
      </c>
      <c r="F104" s="28"/>
      <c r="G104" s="104">
        <v>0</v>
      </c>
      <c r="H104" s="28">
        <v>0</v>
      </c>
      <c r="I104" s="33">
        <f>D104-май!D104</f>
        <v>0</v>
      </c>
    </row>
    <row r="105" spans="1:9" ht="12.75">
      <c r="A105" s="11" t="s">
        <v>41</v>
      </c>
      <c r="B105" s="33">
        <f>B106+B107+B109+B110+B111+B108</f>
        <v>1946788.06</v>
      </c>
      <c r="C105" s="33">
        <f>C106+C107+C109+C110+C111+C108</f>
        <v>982311.2999999999</v>
      </c>
      <c r="D105" s="33">
        <f>D106+D107+D109+D110+D111+D108</f>
        <v>981560.3999999999</v>
      </c>
      <c r="E105" s="33">
        <f>E106+E107+E110+E111+E109</f>
        <v>200.16986246935872</v>
      </c>
      <c r="F105" s="33">
        <f>F106+F107+F110+F111+F109</f>
        <v>499.99915774579085</v>
      </c>
      <c r="G105" s="33">
        <f>G106+G107+G109+G110+G111+G108</f>
        <v>849461.1000000001</v>
      </c>
      <c r="H105" s="25">
        <f t="shared" si="2"/>
        <v>115.55095342211665</v>
      </c>
      <c r="I105" s="33">
        <f>D105-май!D105</f>
        <v>228415.09999999998</v>
      </c>
    </row>
    <row r="106" spans="1:9" ht="12.75">
      <c r="A106" s="8" t="s">
        <v>42</v>
      </c>
      <c r="B106" s="27">
        <v>741764.4</v>
      </c>
      <c r="C106" s="27">
        <v>389782.3</v>
      </c>
      <c r="D106" s="27">
        <v>389782.3</v>
      </c>
      <c r="E106" s="28">
        <f aca="true" t="shared" si="4" ref="E106:E116">$D:$D/$B:$B*100</f>
        <v>52.54799232748295</v>
      </c>
      <c r="F106" s="28">
        <f aca="true" t="shared" si="5" ref="F106:F114">$D:$D/$C:$C*100</f>
        <v>100</v>
      </c>
      <c r="G106" s="104">
        <v>329346.5</v>
      </c>
      <c r="H106" s="28">
        <f t="shared" si="2"/>
        <v>118.35021777975476</v>
      </c>
      <c r="I106" s="33">
        <f>D106-май!D106</f>
        <v>82440.5</v>
      </c>
    </row>
    <row r="107" spans="1:9" ht="12.75">
      <c r="A107" s="8" t="s">
        <v>43</v>
      </c>
      <c r="B107" s="27">
        <v>797908.1</v>
      </c>
      <c r="C107" s="27">
        <v>397839.2</v>
      </c>
      <c r="D107" s="27">
        <v>397839.2</v>
      </c>
      <c r="E107" s="28">
        <f t="shared" si="4"/>
        <v>49.86027839546935</v>
      </c>
      <c r="F107" s="28">
        <f t="shared" si="5"/>
        <v>100</v>
      </c>
      <c r="G107" s="104">
        <v>339308.1</v>
      </c>
      <c r="H107" s="28">
        <f t="shared" si="2"/>
        <v>117.25013343330149</v>
      </c>
      <c r="I107" s="33">
        <f>D107-май!D107</f>
        <v>90936.70000000001</v>
      </c>
    </row>
    <row r="108" spans="1:9" ht="12.75">
      <c r="A108" s="21" t="s">
        <v>105</v>
      </c>
      <c r="B108" s="27">
        <v>154404.3</v>
      </c>
      <c r="C108" s="27">
        <v>79256.5</v>
      </c>
      <c r="D108" s="27">
        <v>78506.5</v>
      </c>
      <c r="E108" s="28">
        <f t="shared" si="4"/>
        <v>50.84476274300651</v>
      </c>
      <c r="F108" s="28">
        <f t="shared" si="5"/>
        <v>99.0537053743226</v>
      </c>
      <c r="G108" s="104">
        <v>76175.9</v>
      </c>
      <c r="H108" s="28">
        <f t="shared" si="2"/>
        <v>103.05949782017674</v>
      </c>
      <c r="I108" s="33">
        <f>D108-май!D108</f>
        <v>22078.6</v>
      </c>
    </row>
    <row r="109" spans="1:9" ht="25.5">
      <c r="A109" s="8" t="s">
        <v>123</v>
      </c>
      <c r="B109" s="27">
        <v>374.76</v>
      </c>
      <c r="C109" s="27">
        <v>59.6</v>
      </c>
      <c r="D109" s="27">
        <v>59.6</v>
      </c>
      <c r="E109" s="28">
        <f t="shared" si="4"/>
        <v>15.903511580745011</v>
      </c>
      <c r="F109" s="28">
        <f t="shared" si="5"/>
        <v>100</v>
      </c>
      <c r="G109" s="104">
        <v>279</v>
      </c>
      <c r="H109" s="28">
        <f t="shared" si="2"/>
        <v>21.36200716845878</v>
      </c>
      <c r="I109" s="33">
        <f>D109-май!D109</f>
        <v>2.3999999999999986</v>
      </c>
    </row>
    <row r="110" spans="1:9" ht="12.75">
      <c r="A110" s="8" t="s">
        <v>44</v>
      </c>
      <c r="B110" s="27">
        <v>24342.6</v>
      </c>
      <c r="C110" s="27">
        <v>8517.6</v>
      </c>
      <c r="D110" s="27">
        <v>8517.6</v>
      </c>
      <c r="E110" s="28">
        <f t="shared" si="4"/>
        <v>34.9905104631387</v>
      </c>
      <c r="F110" s="28">
        <f t="shared" si="5"/>
        <v>100</v>
      </c>
      <c r="G110" s="104">
        <v>23747.3</v>
      </c>
      <c r="H110" s="28">
        <f t="shared" si="2"/>
        <v>35.86765653358487</v>
      </c>
      <c r="I110" s="33">
        <f>D110-май!D110</f>
        <v>1874.9000000000005</v>
      </c>
    </row>
    <row r="111" spans="1:9" ht="12.75">
      <c r="A111" s="8" t="s">
        <v>45</v>
      </c>
      <c r="B111" s="27">
        <v>227993.9</v>
      </c>
      <c r="C111" s="27">
        <v>106856.1</v>
      </c>
      <c r="D111" s="27">
        <v>106855.2</v>
      </c>
      <c r="E111" s="28">
        <f t="shared" si="4"/>
        <v>46.867569702522744</v>
      </c>
      <c r="F111" s="28">
        <f t="shared" si="5"/>
        <v>99.99915774579082</v>
      </c>
      <c r="G111" s="104">
        <v>80604.3</v>
      </c>
      <c r="H111" s="28">
        <f t="shared" si="2"/>
        <v>132.56761736036412</v>
      </c>
      <c r="I111" s="33">
        <f>D111-май!D111</f>
        <v>31082</v>
      </c>
    </row>
    <row r="112" spans="1:9" ht="25.5">
      <c r="A112" s="11" t="s">
        <v>46</v>
      </c>
      <c r="B112" s="33">
        <f>B113+B114</f>
        <v>346883.80000000005</v>
      </c>
      <c r="C112" s="33">
        <f>C113+C114</f>
        <v>155286.7</v>
      </c>
      <c r="D112" s="33">
        <f>D113+D114</f>
        <v>152152.3</v>
      </c>
      <c r="E112" s="25">
        <f t="shared" si="4"/>
        <v>43.8626133592863</v>
      </c>
      <c r="F112" s="25">
        <f t="shared" si="5"/>
        <v>97.9815399515863</v>
      </c>
      <c r="G112" s="33">
        <f>G113+G114</f>
        <v>73960.7</v>
      </c>
      <c r="H112" s="25">
        <f t="shared" si="2"/>
        <v>205.72047046607182</v>
      </c>
      <c r="I112" s="33">
        <f>D112-май!D112</f>
        <v>53411.29999999999</v>
      </c>
    </row>
    <row r="113" spans="1:9" ht="12.75">
      <c r="A113" s="8" t="s">
        <v>47</v>
      </c>
      <c r="B113" s="27">
        <v>221274.2</v>
      </c>
      <c r="C113" s="27">
        <v>99450.9</v>
      </c>
      <c r="D113" s="27">
        <v>96321.1</v>
      </c>
      <c r="E113" s="28">
        <f t="shared" si="4"/>
        <v>43.53019918273346</v>
      </c>
      <c r="F113" s="28">
        <f t="shared" si="5"/>
        <v>96.85291938031733</v>
      </c>
      <c r="G113" s="104">
        <v>72396.8</v>
      </c>
      <c r="H113" s="28">
        <f t="shared" si="2"/>
        <v>133.0460738596181</v>
      </c>
      <c r="I113" s="33">
        <f>D113-май!D113</f>
        <v>20584.100000000006</v>
      </c>
    </row>
    <row r="114" spans="1:9" ht="25.5">
      <c r="A114" s="8" t="s">
        <v>48</v>
      </c>
      <c r="B114" s="27">
        <v>125609.6</v>
      </c>
      <c r="C114" s="27">
        <v>55835.8</v>
      </c>
      <c r="D114" s="27">
        <v>55831.2</v>
      </c>
      <c r="E114" s="28">
        <f t="shared" si="4"/>
        <v>44.44819504241714</v>
      </c>
      <c r="F114" s="28">
        <f t="shared" si="5"/>
        <v>99.99176155799682</v>
      </c>
      <c r="G114" s="104">
        <v>1563.9</v>
      </c>
      <c r="H114" s="28">
        <f t="shared" si="2"/>
        <v>3569.9980817187793</v>
      </c>
      <c r="I114" s="33">
        <f>D114-май!D114</f>
        <v>32827.2</v>
      </c>
    </row>
    <row r="115" spans="1:9" ht="12.75">
      <c r="A115" s="11" t="s">
        <v>97</v>
      </c>
      <c r="B115" s="33">
        <f>B116</f>
        <v>163.45</v>
      </c>
      <c r="C115" s="33">
        <f>C116</f>
        <v>127</v>
      </c>
      <c r="D115" s="33">
        <f>D116</f>
        <v>127</v>
      </c>
      <c r="E115" s="25">
        <f t="shared" si="4"/>
        <v>77.69960232487</v>
      </c>
      <c r="F115" s="25">
        <v>0</v>
      </c>
      <c r="G115" s="33">
        <f>G116</f>
        <v>158.1</v>
      </c>
      <c r="H115" s="25">
        <f t="shared" si="2"/>
        <v>80.32890575585073</v>
      </c>
      <c r="I115" s="33">
        <f>D115-май!D115</f>
        <v>0</v>
      </c>
    </row>
    <row r="116" spans="1:9" ht="12.75">
      <c r="A116" s="8" t="s">
        <v>98</v>
      </c>
      <c r="B116" s="27">
        <v>163.45</v>
      </c>
      <c r="C116" s="27">
        <v>127</v>
      </c>
      <c r="D116" s="27">
        <v>127</v>
      </c>
      <c r="E116" s="28">
        <f t="shared" si="4"/>
        <v>77.69960232487</v>
      </c>
      <c r="F116" s="28">
        <v>0</v>
      </c>
      <c r="G116" s="34">
        <v>158.1</v>
      </c>
      <c r="H116" s="28">
        <f t="shared" si="2"/>
        <v>80.32890575585073</v>
      </c>
      <c r="I116" s="33">
        <f>D116-май!D116</f>
        <v>0</v>
      </c>
    </row>
    <row r="117" spans="1:9" ht="12.75">
      <c r="A117" s="11" t="s">
        <v>49</v>
      </c>
      <c r="B117" s="33">
        <f>B118+B120+B121+B122</f>
        <v>169926.78</v>
      </c>
      <c r="C117" s="33">
        <f>C118+C120+C121+C122</f>
        <v>73483</v>
      </c>
      <c r="D117" s="33">
        <f>D118+D120+D121+D122</f>
        <v>73454.79999999999</v>
      </c>
      <c r="E117" s="33">
        <f>E118+E119+E120+E121</f>
        <v>116.63304336557566</v>
      </c>
      <c r="F117" s="33" t="e">
        <f>F118+F119+F120+F121</f>
        <v>#DIV/0!</v>
      </c>
      <c r="G117" s="33">
        <f>G118+G119+G120+G121+G122</f>
        <v>45318.3</v>
      </c>
      <c r="H117" s="25">
        <f t="shared" si="2"/>
        <v>162.0863977686718</v>
      </c>
      <c r="I117" s="33">
        <f>D117-май!D117</f>
        <v>18367.899999999994</v>
      </c>
    </row>
    <row r="118" spans="1:9" ht="12.75">
      <c r="A118" s="8" t="s">
        <v>50</v>
      </c>
      <c r="B118" s="27">
        <v>3025.38</v>
      </c>
      <c r="C118" s="27">
        <v>943.2</v>
      </c>
      <c r="D118" s="27">
        <v>943.2</v>
      </c>
      <c r="E118" s="28">
        <f>$D:$D/$B:$B*100</f>
        <v>31.176248934018208</v>
      </c>
      <c r="F118" s="28">
        <v>0</v>
      </c>
      <c r="G118" s="104">
        <v>1079</v>
      </c>
      <c r="H118" s="28">
        <f t="shared" si="2"/>
        <v>87.41427247451344</v>
      </c>
      <c r="I118" s="33">
        <f>D118-май!D118</f>
        <v>188.60000000000002</v>
      </c>
    </row>
    <row r="119" spans="1:9" ht="12.75" hidden="1">
      <c r="A119" s="8" t="s">
        <v>51</v>
      </c>
      <c r="B119" s="22">
        <v>0</v>
      </c>
      <c r="C119" s="22">
        <v>0</v>
      </c>
      <c r="D119" s="22">
        <v>0</v>
      </c>
      <c r="E119" s="28">
        <v>0</v>
      </c>
      <c r="F119" s="28" t="e">
        <f>$D:$D/$C:$C*100</f>
        <v>#DIV/0!</v>
      </c>
      <c r="G119" s="104">
        <v>0</v>
      </c>
      <c r="H119" s="28" t="e">
        <f t="shared" si="2"/>
        <v>#DIV/0!</v>
      </c>
      <c r="I119" s="22">
        <v>0</v>
      </c>
    </row>
    <row r="120" spans="1:9" ht="12.75">
      <c r="A120" s="8" t="s">
        <v>52</v>
      </c>
      <c r="B120" s="27">
        <v>106259.5</v>
      </c>
      <c r="C120" s="27">
        <v>48182.9</v>
      </c>
      <c r="D120" s="27">
        <v>48182.9</v>
      </c>
      <c r="E120" s="28">
        <f>$D:$D/$B:$B*100</f>
        <v>45.34455742780646</v>
      </c>
      <c r="F120" s="28">
        <v>0</v>
      </c>
      <c r="G120" s="104">
        <v>37095.3</v>
      </c>
      <c r="H120" s="28">
        <f t="shared" si="2"/>
        <v>129.8895008262502</v>
      </c>
      <c r="I120" s="33">
        <f>D120-май!D119</f>
        <v>6454</v>
      </c>
    </row>
    <row r="121" spans="1:9" ht="12.75">
      <c r="A121" s="8" t="s">
        <v>53</v>
      </c>
      <c r="B121" s="27">
        <v>58037.9</v>
      </c>
      <c r="C121" s="27">
        <v>23297.3</v>
      </c>
      <c r="D121" s="27">
        <v>23280.3</v>
      </c>
      <c r="E121" s="28">
        <f>$D:$D/$B:$B*100</f>
        <v>40.11223700375099</v>
      </c>
      <c r="F121" s="28">
        <f>$D:$D/$C:$C*100</f>
        <v>99.92703017087817</v>
      </c>
      <c r="G121" s="104">
        <v>6219.6</v>
      </c>
      <c r="H121" s="28">
        <f t="shared" si="2"/>
        <v>374.30542157051894</v>
      </c>
      <c r="I121" s="33">
        <f>D121-май!D120</f>
        <v>11424.599999999999</v>
      </c>
    </row>
    <row r="122" spans="1:9" ht="12.75">
      <c r="A122" s="8" t="s">
        <v>54</v>
      </c>
      <c r="B122" s="27">
        <v>2604</v>
      </c>
      <c r="C122" s="27">
        <v>1059.6</v>
      </c>
      <c r="D122" s="27">
        <v>1048.4</v>
      </c>
      <c r="E122" s="28">
        <f>$D:$D/$B:$B*100</f>
        <v>40.26113671274962</v>
      </c>
      <c r="F122" s="28"/>
      <c r="G122" s="104">
        <v>924.4</v>
      </c>
      <c r="H122" s="28">
        <f t="shared" si="2"/>
        <v>113.41410644742538</v>
      </c>
      <c r="I122" s="33">
        <f>D122-май!D121</f>
        <v>300.70000000000005</v>
      </c>
    </row>
    <row r="123" spans="1:9" ht="12.75">
      <c r="A123" s="11" t="s">
        <v>61</v>
      </c>
      <c r="B123" s="26">
        <f>B124+B125+B126</f>
        <v>361142.8</v>
      </c>
      <c r="C123" s="26">
        <f>C124+C125+C126</f>
        <v>106834.20000000001</v>
      </c>
      <c r="D123" s="26">
        <f>D124+D125+D126</f>
        <v>106799.5</v>
      </c>
      <c r="E123" s="25">
        <f>$D:$D/$B:$B*100</f>
        <v>29.57265103997643</v>
      </c>
      <c r="F123" s="25">
        <f>$D:$D/$C:$C*100</f>
        <v>99.96751976427024</v>
      </c>
      <c r="G123" s="26">
        <f>G124+G125+G126</f>
        <v>107244</v>
      </c>
      <c r="H123" s="25">
        <f t="shared" si="2"/>
        <v>99.58552459811271</v>
      </c>
      <c r="I123" s="33">
        <f>D123-май!D122</f>
        <v>106799.5</v>
      </c>
    </row>
    <row r="124" spans="1:9" ht="12.75">
      <c r="A124" s="39" t="s">
        <v>62</v>
      </c>
      <c r="B124" s="27">
        <v>294545.2</v>
      </c>
      <c r="C124" s="27">
        <v>76006.6</v>
      </c>
      <c r="D124" s="27">
        <v>76006.3</v>
      </c>
      <c r="E124" s="28">
        <f>$D:$D/$B:$B*100</f>
        <v>25.80463032498917</v>
      </c>
      <c r="F124" s="28">
        <f>$D:$D/$C:$C*100</f>
        <v>99.99960529743468</v>
      </c>
      <c r="G124" s="104">
        <v>43741.7</v>
      </c>
      <c r="H124" s="28">
        <f t="shared" si="2"/>
        <v>173.76165078174833</v>
      </c>
      <c r="I124" s="33">
        <f>D124-май!D124</f>
        <v>14447.600000000006</v>
      </c>
    </row>
    <row r="125" spans="1:9" ht="24.75" customHeight="1">
      <c r="A125" s="12" t="s">
        <v>63</v>
      </c>
      <c r="B125" s="27">
        <v>61418.6</v>
      </c>
      <c r="C125" s="27">
        <v>28638.3</v>
      </c>
      <c r="D125" s="27">
        <v>28638.3</v>
      </c>
      <c r="E125" s="28">
        <v>0</v>
      </c>
      <c r="F125" s="28">
        <v>0</v>
      </c>
      <c r="G125" s="104">
        <v>61707.3</v>
      </c>
      <c r="H125" s="28">
        <f t="shared" si="2"/>
        <v>46.409906121317896</v>
      </c>
      <c r="I125" s="33">
        <f>D125-май!D125</f>
        <v>6836.700000000001</v>
      </c>
    </row>
    <row r="126" spans="1:9" ht="25.5">
      <c r="A126" s="12" t="s">
        <v>73</v>
      </c>
      <c r="B126" s="27">
        <v>5179</v>
      </c>
      <c r="C126" s="27">
        <v>2189.3</v>
      </c>
      <c r="D126" s="27">
        <v>2154.9</v>
      </c>
      <c r="E126" s="28">
        <f>$D:$D/$B:$B*100</f>
        <v>41.608418613631976</v>
      </c>
      <c r="F126" s="28">
        <f>$D:$D/$C:$C*100</f>
        <v>98.42872150915818</v>
      </c>
      <c r="G126" s="104">
        <v>1795</v>
      </c>
      <c r="H126" s="28">
        <f t="shared" si="2"/>
        <v>120.05013927576601</v>
      </c>
      <c r="I126" s="33">
        <f>D126-май!D126</f>
        <v>384.4000000000001</v>
      </c>
    </row>
    <row r="127" spans="1:9" s="99" customFormat="1" ht="26.25" customHeight="1">
      <c r="A127" s="13" t="s">
        <v>80</v>
      </c>
      <c r="B127" s="26">
        <v>5.8</v>
      </c>
      <c r="C127" s="26">
        <v>5.75</v>
      </c>
      <c r="D127" s="26">
        <v>5.75</v>
      </c>
      <c r="E127" s="25">
        <f>$D:$D/$B:$B*100</f>
        <v>99.13793103448276</v>
      </c>
      <c r="F127" s="25">
        <v>0</v>
      </c>
      <c r="G127" s="104">
        <v>2.01384</v>
      </c>
      <c r="H127" s="28">
        <f t="shared" si="2"/>
        <v>285.52417272474474</v>
      </c>
      <c r="I127" s="33">
        <f>D127-май!D127</f>
        <v>0</v>
      </c>
    </row>
    <row r="128" spans="1:9" ht="13.5" customHeight="1">
      <c r="A128" s="12" t="s">
        <v>81</v>
      </c>
      <c r="B128" s="27">
        <v>5.8</v>
      </c>
      <c r="C128" s="27">
        <v>5.75</v>
      </c>
      <c r="D128" s="27">
        <v>5.75</v>
      </c>
      <c r="E128" s="28">
        <f>$D:$D/$B:$B*100</f>
        <v>99.13793103448276</v>
      </c>
      <c r="F128" s="28">
        <v>0</v>
      </c>
      <c r="G128" s="34">
        <f>2013.84/1000</f>
        <v>2.01384</v>
      </c>
      <c r="H128" s="28">
        <f t="shared" si="2"/>
        <v>285.52417272474474</v>
      </c>
      <c r="I128" s="33">
        <f>D128-май!D128</f>
        <v>0</v>
      </c>
    </row>
    <row r="129" spans="1:9" ht="15.75" customHeight="1">
      <c r="A129" s="14" t="s">
        <v>55</v>
      </c>
      <c r="B129" s="33">
        <f>B80+B89+B90+B91+B97+B105+B112+B115+B117+B123+B127+B102</f>
        <v>4605987.49</v>
      </c>
      <c r="C129" s="33">
        <f>C80+C89+C90+C91+C97+C105+C112+C115+C117+C123+C127+C102</f>
        <v>1661192.89</v>
      </c>
      <c r="D129" s="33">
        <f>D80+D89+D90+D91+D97+D105+D112+D115+D117+D123+D127+D102+0.1</f>
        <v>1656578.3900000001</v>
      </c>
      <c r="E129" s="25">
        <f>$D:$D/$B:$B*100</f>
        <v>35.965759646472684</v>
      </c>
      <c r="F129" s="25">
        <f>$D:$D/$C:$C*100</f>
        <v>99.72221768900059</v>
      </c>
      <c r="G129" s="33">
        <f>G80+G89+G90+G91+G97+G105+G112+G115+G117+G123+G127+G102</f>
        <v>1264762.3138400002</v>
      </c>
      <c r="H129" s="25">
        <f t="shared" si="2"/>
        <v>130.97942371245946</v>
      </c>
      <c r="I129" s="33">
        <f>D129-май!D129</f>
        <v>411509.00000000023</v>
      </c>
    </row>
    <row r="130" spans="1:9" ht="26.25" customHeight="1">
      <c r="A130" s="79" t="s">
        <v>56</v>
      </c>
      <c r="B130" s="80">
        <f>B74-B129</f>
        <v>-171004.70999999996</v>
      </c>
      <c r="C130" s="80">
        <f>C74-C129</f>
        <v>748087.4500000004</v>
      </c>
      <c r="D130" s="80">
        <f>D74-D129</f>
        <v>93909.06999999983</v>
      </c>
      <c r="E130" s="80"/>
      <c r="F130" s="80"/>
      <c r="G130" s="33">
        <f>G74-G129</f>
        <v>28635.586159999715</v>
      </c>
      <c r="H130" s="80"/>
      <c r="I130" s="33">
        <f>D130-май!D130</f>
        <v>12581.699999999953</v>
      </c>
    </row>
    <row r="131" spans="1:9" ht="24" customHeight="1">
      <c r="A131" s="1" t="s">
        <v>57</v>
      </c>
      <c r="B131" s="27" t="s">
        <v>159</v>
      </c>
      <c r="C131" s="27"/>
      <c r="D131" s="27" t="s">
        <v>179</v>
      </c>
      <c r="E131" s="27"/>
      <c r="F131" s="27"/>
      <c r="G131" s="27" t="s">
        <v>176</v>
      </c>
      <c r="H131" s="26"/>
      <c r="I131" s="33"/>
    </row>
    <row r="132" spans="1:9" ht="12.75">
      <c r="A132" s="3" t="s">
        <v>58</v>
      </c>
      <c r="B132" s="77">
        <f>B134+B135</f>
        <v>99223.6</v>
      </c>
      <c r="C132" s="77">
        <f>C134+C135</f>
        <v>0</v>
      </c>
      <c r="D132" s="77">
        <f>D134+D135</f>
        <v>158132.7</v>
      </c>
      <c r="E132" s="77"/>
      <c r="F132" s="77">
        <f>F134+F135</f>
        <v>0</v>
      </c>
      <c r="G132" s="106">
        <f>G134+G135</f>
        <v>59457.4</v>
      </c>
      <c r="H132" s="77"/>
      <c r="I132" s="33">
        <f>D132-май!D132</f>
        <v>12581.700000000012</v>
      </c>
    </row>
    <row r="133" spans="1:9" ht="12" customHeight="1">
      <c r="A133" s="1" t="s">
        <v>6</v>
      </c>
      <c r="B133" s="78"/>
      <c r="C133" s="27"/>
      <c r="D133" s="27"/>
      <c r="E133" s="27"/>
      <c r="F133" s="27"/>
      <c r="G133" s="27"/>
      <c r="H133" s="35"/>
      <c r="I133" s="33">
        <f>D133-май!D133</f>
        <v>0</v>
      </c>
    </row>
    <row r="134" spans="1:9" ht="12.75">
      <c r="A134" s="5" t="s">
        <v>59</v>
      </c>
      <c r="B134" s="78">
        <v>53815.7</v>
      </c>
      <c r="C134" s="27"/>
      <c r="D134" s="27">
        <f>158132.7-112445.3</f>
        <v>45687.40000000001</v>
      </c>
      <c r="E134" s="27"/>
      <c r="F134" s="27"/>
      <c r="G134" s="27">
        <v>43549.5</v>
      </c>
      <c r="H134" s="35"/>
      <c r="I134" s="33">
        <f>D134-май!D134</f>
        <v>2351.4000000000087</v>
      </c>
    </row>
    <row r="135" spans="1:9" ht="12.75">
      <c r="A135" s="1" t="s">
        <v>60</v>
      </c>
      <c r="B135" s="78">
        <f>99223.6-B134</f>
        <v>45407.90000000001</v>
      </c>
      <c r="C135" s="27"/>
      <c r="D135" s="27">
        <v>112445.3</v>
      </c>
      <c r="E135" s="27"/>
      <c r="F135" s="27"/>
      <c r="G135" s="27">
        <f>59457.4-G134</f>
        <v>15907.900000000001</v>
      </c>
      <c r="H135" s="35"/>
      <c r="I135" s="33">
        <f>D135-май!D135</f>
        <v>10230.300000000003</v>
      </c>
    </row>
    <row r="136" spans="1:9" ht="12.75">
      <c r="A136" s="3" t="s">
        <v>99</v>
      </c>
      <c r="B136" s="26">
        <f>B137-B138</f>
        <v>22950</v>
      </c>
      <c r="C136" s="26">
        <f>C137-C138</f>
        <v>-35000</v>
      </c>
      <c r="D136" s="26">
        <f>D137-D138</f>
        <v>-35000</v>
      </c>
      <c r="E136" s="26"/>
      <c r="F136" s="26">
        <f>F137-F138</f>
        <v>0</v>
      </c>
      <c r="G136" s="26">
        <v>-12050</v>
      </c>
      <c r="H136" s="26"/>
      <c r="I136" s="33">
        <f>D136-май!D136</f>
        <v>0</v>
      </c>
    </row>
    <row r="137" spans="1:9" ht="12.75">
      <c r="A137" s="2" t="s">
        <v>100</v>
      </c>
      <c r="B137" s="27">
        <v>35000</v>
      </c>
      <c r="C137" s="27">
        <v>0</v>
      </c>
      <c r="D137" s="27">
        <v>0</v>
      </c>
      <c r="E137" s="36"/>
      <c r="F137" s="36"/>
      <c r="G137" s="36">
        <v>0</v>
      </c>
      <c r="H137" s="37"/>
      <c r="I137" s="33">
        <f>D137-май!D137</f>
        <v>0</v>
      </c>
    </row>
    <row r="138" spans="1:9" ht="12.75">
      <c r="A138" s="2" t="s">
        <v>101</v>
      </c>
      <c r="B138" s="27">
        <v>12050</v>
      </c>
      <c r="C138" s="27">
        <v>35000</v>
      </c>
      <c r="D138" s="27">
        <v>35000</v>
      </c>
      <c r="E138" s="36"/>
      <c r="F138" s="36"/>
      <c r="G138" s="27">
        <v>12050</v>
      </c>
      <c r="H138" s="37"/>
      <c r="I138" s="33">
        <f>D138-май!D138</f>
        <v>0</v>
      </c>
    </row>
    <row r="139" spans="1:9" ht="12.75">
      <c r="A139" s="15"/>
      <c r="B139" s="24"/>
      <c r="C139" s="24"/>
      <c r="D139" s="24"/>
      <c r="E139" s="24"/>
      <c r="F139" s="24"/>
      <c r="G139" s="84"/>
      <c r="H139" s="24"/>
      <c r="I139" s="24"/>
    </row>
    <row r="141" ht="12" customHeight="1">
      <c r="A141" s="21" t="s">
        <v>79</v>
      </c>
    </row>
    <row r="142" ht="12.75" customHeight="1" hidden="1"/>
    <row r="144" spans="1:9" ht="25.5">
      <c r="A144" s="15" t="s">
        <v>103</v>
      </c>
      <c r="B144" s="24"/>
      <c r="C144" s="24"/>
      <c r="D144" s="24" t="s">
        <v>137</v>
      </c>
      <c r="E144" s="24"/>
      <c r="F144" s="24"/>
      <c r="G144" s="84"/>
      <c r="H144" s="24"/>
      <c r="I144" s="24"/>
    </row>
  </sheetData>
  <sheetProtection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4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3" sqref="L13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85" customWidth="1"/>
    <col min="8" max="8" width="11.875" style="22" customWidth="1"/>
    <col min="9" max="9" width="10.00390625" style="22" customWidth="1"/>
    <col min="10" max="10" width="9.125" style="21" customWidth="1"/>
    <col min="11" max="13" width="10.00390625" style="21" bestFit="1" customWidth="1"/>
    <col min="14" max="16384" width="9.125" style="21" customWidth="1"/>
  </cols>
  <sheetData>
    <row r="1" spans="1:9" ht="12.75">
      <c r="A1" s="117" t="s">
        <v>102</v>
      </c>
      <c r="B1" s="117"/>
      <c r="C1" s="117"/>
      <c r="D1" s="117"/>
      <c r="E1" s="117"/>
      <c r="F1" s="117"/>
      <c r="G1" s="117"/>
      <c r="H1" s="117"/>
      <c r="I1" s="86"/>
    </row>
    <row r="2" spans="1:9" ht="12.75">
      <c r="A2" s="118" t="s">
        <v>180</v>
      </c>
      <c r="B2" s="118"/>
      <c r="C2" s="118"/>
      <c r="D2" s="118"/>
      <c r="E2" s="118"/>
      <c r="F2" s="118"/>
      <c r="G2" s="118"/>
      <c r="H2" s="118"/>
      <c r="I2" s="87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1"/>
    </row>
    <row r="4" spans="1:9" ht="45" customHeight="1">
      <c r="A4" s="4" t="s">
        <v>1</v>
      </c>
      <c r="B4" s="17" t="s">
        <v>2</v>
      </c>
      <c r="C4" s="17" t="s">
        <v>181</v>
      </c>
      <c r="D4" s="17" t="s">
        <v>68</v>
      </c>
      <c r="E4" s="17" t="s">
        <v>66</v>
      </c>
      <c r="F4" s="17" t="s">
        <v>69</v>
      </c>
      <c r="G4" s="101" t="s">
        <v>156</v>
      </c>
      <c r="H4" s="17" t="s">
        <v>65</v>
      </c>
      <c r="I4" s="17" t="s">
        <v>71</v>
      </c>
    </row>
    <row r="5" spans="1:9" ht="12.75">
      <c r="A5" s="88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ht="12.75">
      <c r="A6" s="119" t="s">
        <v>3</v>
      </c>
      <c r="B6" s="119"/>
      <c r="C6" s="119"/>
      <c r="D6" s="119"/>
      <c r="E6" s="119"/>
      <c r="F6" s="119"/>
      <c r="G6" s="119"/>
      <c r="H6" s="119"/>
      <c r="I6" s="120"/>
    </row>
    <row r="7" spans="1:9" ht="12.75">
      <c r="A7" s="46" t="s">
        <v>104</v>
      </c>
      <c r="B7" s="33">
        <f>B8+B17+B22+B27+B30+B38+B47+B48+B49+B53+B64</f>
        <v>743069.1900000001</v>
      </c>
      <c r="C7" s="33">
        <f>C8+C17+C22+C27+C30+C38+C47+C48+C49+C53+C64</f>
        <v>354896.30000000005</v>
      </c>
      <c r="D7" s="33">
        <f>D8+D17+D22+D27+D30+D38+D47+D48+D49+D53+D64+D37</f>
        <v>405068.75999999995</v>
      </c>
      <c r="E7" s="25">
        <f>D7/B7*100</f>
        <v>54.51292631309339</v>
      </c>
      <c r="F7" s="25">
        <v>27699.089999999997</v>
      </c>
      <c r="G7" s="33">
        <v>403607.49999999994</v>
      </c>
      <c r="H7" s="25">
        <f>C7/G7*100</f>
        <v>87.93104687103191</v>
      </c>
      <c r="I7" s="33">
        <f>D7-июнь!D7</f>
        <v>95218.8999999999</v>
      </c>
    </row>
    <row r="8" spans="1:9" ht="12.75">
      <c r="A8" s="47" t="s">
        <v>4</v>
      </c>
      <c r="B8" s="25">
        <f>B9+B10</f>
        <v>373116.60000000003</v>
      </c>
      <c r="C8" s="25">
        <f>C9+C10</f>
        <v>168602</v>
      </c>
      <c r="D8" s="25">
        <f>D9+D10</f>
        <v>205197.09999999998</v>
      </c>
      <c r="E8" s="25">
        <f aca="true" t="shared" si="0" ref="E8:E73">D8/B8*100</f>
        <v>54.99543574314302</v>
      </c>
      <c r="F8" s="25">
        <v>10645.39</v>
      </c>
      <c r="G8" s="25">
        <v>214581.4</v>
      </c>
      <c r="H8" s="25">
        <f aca="true" t="shared" si="1" ref="H8:H73">C8/G8*100</f>
        <v>78.57251374070633</v>
      </c>
      <c r="I8" s="33">
        <f>D8-июнь!D8</f>
        <v>49226.09999999998</v>
      </c>
    </row>
    <row r="9" spans="1:9" ht="25.5">
      <c r="A9" s="54" t="s">
        <v>5</v>
      </c>
      <c r="B9" s="27">
        <v>8631</v>
      </c>
      <c r="C9" s="27">
        <v>6631</v>
      </c>
      <c r="D9" s="27">
        <v>9580.9</v>
      </c>
      <c r="E9" s="27">
        <f t="shared" si="0"/>
        <v>111.00567721005676</v>
      </c>
      <c r="F9" s="25">
        <v>200.86</v>
      </c>
      <c r="G9" s="26">
        <v>3143.7</v>
      </c>
      <c r="H9" s="25">
        <f t="shared" si="1"/>
        <v>210.9297961001368</v>
      </c>
      <c r="I9" s="33">
        <f>D9-июнь!D9</f>
        <v>1490.1999999999998</v>
      </c>
    </row>
    <row r="10" spans="1:9" ht="12.75" customHeight="1">
      <c r="A10" s="54" t="s">
        <v>70</v>
      </c>
      <c r="B10" s="33">
        <f>SUM(B11:B16)</f>
        <v>364485.60000000003</v>
      </c>
      <c r="C10" s="33">
        <f>SUM(C11:C16)</f>
        <v>161971</v>
      </c>
      <c r="D10" s="33">
        <f>SUM(D11:D16)</f>
        <v>195616.19999999998</v>
      </c>
      <c r="E10" s="25">
        <f t="shared" si="0"/>
        <v>53.66911614615226</v>
      </c>
      <c r="F10" s="25">
        <v>10444.529999999999</v>
      </c>
      <c r="G10" s="42">
        <v>211437.8</v>
      </c>
      <c r="H10" s="25">
        <f t="shared" si="1"/>
        <v>76.60456171980601</v>
      </c>
      <c r="I10" s="33">
        <f>D10-июнь!D10</f>
        <v>47735.899999999994</v>
      </c>
    </row>
    <row r="11" spans="1:9" ht="51">
      <c r="A11" s="51" t="s">
        <v>74</v>
      </c>
      <c r="B11" s="27">
        <v>344651.2</v>
      </c>
      <c r="C11" s="27">
        <v>147500</v>
      </c>
      <c r="D11" s="27">
        <v>176440.3</v>
      </c>
      <c r="E11" s="27">
        <f t="shared" si="0"/>
        <v>51.19387369027004</v>
      </c>
      <c r="F11" s="27">
        <v>10058</v>
      </c>
      <c r="G11" s="27">
        <v>154008.8</v>
      </c>
      <c r="H11" s="25">
        <f t="shared" si="1"/>
        <v>95.77374799362116</v>
      </c>
      <c r="I11" s="33">
        <f>D11-июнь!D11</f>
        <v>35132</v>
      </c>
    </row>
    <row r="12" spans="1:9" ht="51" customHeight="1">
      <c r="A12" s="51" t="s">
        <v>75</v>
      </c>
      <c r="B12" s="27">
        <v>1745</v>
      </c>
      <c r="C12" s="27">
        <v>1281</v>
      </c>
      <c r="D12" s="27">
        <v>2767.8</v>
      </c>
      <c r="E12" s="27">
        <f t="shared" si="0"/>
        <v>158.61318051575932</v>
      </c>
      <c r="F12" s="27">
        <v>81.56</v>
      </c>
      <c r="G12" s="27">
        <v>1089.9</v>
      </c>
      <c r="H12" s="25">
        <f t="shared" si="1"/>
        <v>117.53371868978803</v>
      </c>
      <c r="I12" s="33">
        <f>D12-июнь!D12</f>
        <v>2240.4</v>
      </c>
    </row>
    <row r="13" spans="1:9" ht="25.5">
      <c r="A13" s="51" t="s">
        <v>76</v>
      </c>
      <c r="B13" s="27">
        <v>5600.4</v>
      </c>
      <c r="C13" s="27">
        <v>4330</v>
      </c>
      <c r="D13" s="27">
        <v>4062.3</v>
      </c>
      <c r="E13" s="27">
        <f t="shared" si="0"/>
        <v>72.53589029355047</v>
      </c>
      <c r="F13" s="27">
        <v>117.15</v>
      </c>
      <c r="G13" s="27">
        <v>3977.3</v>
      </c>
      <c r="H13" s="25">
        <f t="shared" si="1"/>
        <v>108.8678249063435</v>
      </c>
      <c r="I13" s="33">
        <f>D13-июнь!D13</f>
        <v>3971.9</v>
      </c>
    </row>
    <row r="14" spans="1:9" ht="63.75">
      <c r="A14" s="51" t="s">
        <v>78</v>
      </c>
      <c r="B14" s="27">
        <v>3850</v>
      </c>
      <c r="C14" s="27">
        <v>2260</v>
      </c>
      <c r="D14" s="27">
        <v>2228.6</v>
      </c>
      <c r="E14" s="27">
        <f t="shared" si="0"/>
        <v>57.885714285714286</v>
      </c>
      <c r="F14" s="27">
        <v>187.82</v>
      </c>
      <c r="G14" s="27">
        <v>2251.2</v>
      </c>
      <c r="H14" s="25">
        <f t="shared" si="1"/>
        <v>100.3909026297086</v>
      </c>
      <c r="I14" s="33">
        <f>D14-июнь!D14</f>
        <v>354.89999999999986</v>
      </c>
    </row>
    <row r="15" spans="1:9" ht="37.5" customHeight="1">
      <c r="A15" s="51" t="s">
        <v>145</v>
      </c>
      <c r="B15" s="27">
        <v>8639</v>
      </c>
      <c r="C15" s="27">
        <v>6600</v>
      </c>
      <c r="D15" s="27">
        <v>7657.2</v>
      </c>
      <c r="E15" s="27">
        <f t="shared" si="0"/>
        <v>88.6352587104989</v>
      </c>
      <c r="F15" s="27"/>
      <c r="G15" s="34">
        <v>50110.6</v>
      </c>
      <c r="H15" s="25">
        <f t="shared" si="1"/>
        <v>13.170866044309987</v>
      </c>
      <c r="I15" s="33">
        <f>D15-июнь!D15</f>
        <v>5670.4</v>
      </c>
    </row>
    <row r="16" spans="1:9" ht="53.25" customHeight="1">
      <c r="A16" s="51" t="s">
        <v>164</v>
      </c>
      <c r="B16" s="27">
        <v>0</v>
      </c>
      <c r="C16" s="27">
        <v>0</v>
      </c>
      <c r="D16" s="27">
        <v>2460</v>
      </c>
      <c r="E16" s="27">
        <v>0</v>
      </c>
      <c r="F16" s="27"/>
      <c r="G16" s="33">
        <v>0</v>
      </c>
      <c r="H16" s="25">
        <v>0</v>
      </c>
      <c r="I16" s="33">
        <f>D16-июнь!D16</f>
        <v>366.3000000000002</v>
      </c>
    </row>
    <row r="17" spans="1:9" ht="39.75" customHeight="1">
      <c r="A17" s="53" t="s">
        <v>82</v>
      </c>
      <c r="B17" s="26">
        <f>SUM(B18:B21)</f>
        <v>59089.46000000001</v>
      </c>
      <c r="C17" s="26">
        <f>SUM(C18:C21)</f>
        <v>36870</v>
      </c>
      <c r="D17" s="26">
        <f>SUM(D18:D21)</f>
        <v>37956.3</v>
      </c>
      <c r="E17" s="25">
        <f t="shared" si="0"/>
        <v>64.23531370907773</v>
      </c>
      <c r="F17" s="25">
        <v>1853.18</v>
      </c>
      <c r="G17" s="26">
        <v>35731.2</v>
      </c>
      <c r="H17" s="25">
        <f t="shared" si="1"/>
        <v>103.18713057495972</v>
      </c>
      <c r="I17" s="33">
        <f>D17-июнь!D17</f>
        <v>5755.9000000000015</v>
      </c>
    </row>
    <row r="18" spans="1:9" ht="37.5" customHeight="1">
      <c r="A18" s="37" t="s">
        <v>83</v>
      </c>
      <c r="B18" s="27">
        <v>27987.73</v>
      </c>
      <c r="C18" s="27">
        <v>17245</v>
      </c>
      <c r="D18" s="27">
        <v>19506.5</v>
      </c>
      <c r="E18" s="27">
        <f t="shared" si="0"/>
        <v>69.69661348026439</v>
      </c>
      <c r="F18" s="27">
        <v>844.23</v>
      </c>
      <c r="G18" s="34">
        <v>17466.4</v>
      </c>
      <c r="H18" s="25">
        <f t="shared" si="1"/>
        <v>98.73242339577702</v>
      </c>
      <c r="I18" s="33">
        <f>D18-июнь!D18</f>
        <v>2907</v>
      </c>
    </row>
    <row r="19" spans="1:9" ht="56.25" customHeight="1">
      <c r="A19" s="37" t="s">
        <v>84</v>
      </c>
      <c r="B19" s="27">
        <v>194.4</v>
      </c>
      <c r="C19" s="27">
        <v>105</v>
      </c>
      <c r="D19" s="27">
        <v>104.7</v>
      </c>
      <c r="E19" s="27">
        <f t="shared" si="0"/>
        <v>53.85802469135802</v>
      </c>
      <c r="F19" s="27">
        <v>5.74</v>
      </c>
      <c r="G19" s="34">
        <v>102.8</v>
      </c>
      <c r="H19" s="25">
        <f t="shared" si="1"/>
        <v>102.14007782101166</v>
      </c>
      <c r="I19" s="33">
        <f>D19-июнь!D19</f>
        <v>18.400000000000006</v>
      </c>
    </row>
    <row r="20" spans="1:9" ht="55.5" customHeight="1">
      <c r="A20" s="37" t="s">
        <v>85</v>
      </c>
      <c r="B20" s="27">
        <v>34598.53</v>
      </c>
      <c r="C20" s="27">
        <v>21550</v>
      </c>
      <c r="D20" s="27">
        <v>20695.7</v>
      </c>
      <c r="E20" s="27">
        <f t="shared" si="0"/>
        <v>59.816703195193554</v>
      </c>
      <c r="F20" s="27">
        <v>1158.41</v>
      </c>
      <c r="G20" s="34">
        <v>20184.3</v>
      </c>
      <c r="H20" s="25">
        <f t="shared" si="1"/>
        <v>106.76614992840972</v>
      </c>
      <c r="I20" s="33">
        <f>D20-июнь!D20</f>
        <v>3110</v>
      </c>
    </row>
    <row r="21" spans="1:9" ht="15.75" customHeight="1">
      <c r="A21" s="37" t="s">
        <v>86</v>
      </c>
      <c r="B21" s="27">
        <v>-3691.2</v>
      </c>
      <c r="C21" s="27">
        <v>-2030</v>
      </c>
      <c r="D21" s="27">
        <v>-2350.6</v>
      </c>
      <c r="E21" s="27">
        <f t="shared" si="0"/>
        <v>63.681187689640225</v>
      </c>
      <c r="F21" s="27">
        <v>-155.2</v>
      </c>
      <c r="G21" s="34">
        <v>-2022.3</v>
      </c>
      <c r="H21" s="25">
        <f t="shared" si="1"/>
        <v>100.38075458636206</v>
      </c>
      <c r="I21" s="33">
        <f>D21-июнь!D21</f>
        <v>-279.5</v>
      </c>
    </row>
    <row r="22" spans="1:9" ht="12.75">
      <c r="A22" s="54" t="s">
        <v>7</v>
      </c>
      <c r="B22" s="26">
        <f>SUM(B23:B26)</f>
        <v>148961.30000000002</v>
      </c>
      <c r="C22" s="26">
        <f>SUM(C23:C26)</f>
        <v>98815</v>
      </c>
      <c r="D22" s="26">
        <f>SUM(D23:D26)</f>
        <v>99535.7</v>
      </c>
      <c r="E22" s="25">
        <f t="shared" si="0"/>
        <v>66.81983844125956</v>
      </c>
      <c r="F22" s="25">
        <v>7362.96</v>
      </c>
      <c r="G22" s="26">
        <v>86683.59999999999</v>
      </c>
      <c r="H22" s="25">
        <f t="shared" si="1"/>
        <v>113.99503481627437</v>
      </c>
      <c r="I22" s="33">
        <f>D22-июнь!D22</f>
        <v>20790.699999999997</v>
      </c>
    </row>
    <row r="23" spans="1:9" ht="28.5" customHeight="1">
      <c r="A23" s="51" t="s">
        <v>146</v>
      </c>
      <c r="B23" s="27">
        <v>116885.1</v>
      </c>
      <c r="C23" s="27">
        <v>80900</v>
      </c>
      <c r="D23" s="27">
        <v>83903.5</v>
      </c>
      <c r="E23" s="27">
        <f t="shared" si="0"/>
        <v>71.7828876392286</v>
      </c>
      <c r="F23" s="27"/>
      <c r="G23" s="27">
        <v>71819.2</v>
      </c>
      <c r="H23" s="25">
        <f t="shared" si="1"/>
        <v>112.64397264241317</v>
      </c>
      <c r="I23" s="33">
        <f>D23-июнь!D23</f>
        <v>18506</v>
      </c>
    </row>
    <row r="24" spans="1:9" ht="19.5" customHeight="1">
      <c r="A24" s="51" t="s">
        <v>89</v>
      </c>
      <c r="B24" s="27">
        <v>0</v>
      </c>
      <c r="C24" s="27">
        <v>0</v>
      </c>
      <c r="D24" s="27">
        <v>-637.6</v>
      </c>
      <c r="E24" s="27" t="s">
        <v>148</v>
      </c>
      <c r="F24" s="27">
        <v>7198.75</v>
      </c>
      <c r="G24" s="27">
        <v>9.9</v>
      </c>
      <c r="H24" s="25">
        <f t="shared" si="1"/>
        <v>0</v>
      </c>
      <c r="I24" s="33">
        <f>D24-июнь!D24</f>
        <v>14.699999999999932</v>
      </c>
    </row>
    <row r="25" spans="1:9" ht="15" customHeight="1">
      <c r="A25" s="51" t="s">
        <v>87</v>
      </c>
      <c r="B25" s="27">
        <v>715</v>
      </c>
      <c r="C25" s="27">
        <v>715</v>
      </c>
      <c r="D25" s="27">
        <v>440</v>
      </c>
      <c r="E25" s="27">
        <f t="shared" si="0"/>
        <v>61.53846153846154</v>
      </c>
      <c r="F25" s="27">
        <v>113.58</v>
      </c>
      <c r="G25" s="34">
        <v>295.8</v>
      </c>
      <c r="H25" s="25">
        <f t="shared" si="1"/>
        <v>241.7173766058147</v>
      </c>
      <c r="I25" s="33">
        <f>D25-июнь!D25</f>
        <v>0</v>
      </c>
    </row>
    <row r="26" spans="1:9" ht="27" customHeight="1">
      <c r="A26" s="51" t="s">
        <v>88</v>
      </c>
      <c r="B26" s="27">
        <v>31361.2</v>
      </c>
      <c r="C26" s="27">
        <v>17200</v>
      </c>
      <c r="D26" s="27">
        <v>15829.8</v>
      </c>
      <c r="E26" s="27">
        <f t="shared" si="0"/>
        <v>50.47574710151397</v>
      </c>
      <c r="F26" s="27">
        <v>50.63</v>
      </c>
      <c r="G26" s="27">
        <v>14558.7</v>
      </c>
      <c r="H26" s="25">
        <f t="shared" si="1"/>
        <v>118.14241656191831</v>
      </c>
      <c r="I26" s="33">
        <f>D26-июнь!D26</f>
        <v>2270</v>
      </c>
    </row>
    <row r="27" spans="1:9" ht="12.75">
      <c r="A27" s="54" t="s">
        <v>8</v>
      </c>
      <c r="B27" s="26">
        <f>SUM(B28:B29)</f>
        <v>42454.6</v>
      </c>
      <c r="C27" s="26">
        <f>SUM(C28:C29)</f>
        <v>10250</v>
      </c>
      <c r="D27" s="26">
        <f>SUM(D28:D29)</f>
        <v>10146.8</v>
      </c>
      <c r="E27" s="25">
        <f t="shared" si="0"/>
        <v>23.900354731878288</v>
      </c>
      <c r="F27" s="25">
        <v>2465.82</v>
      </c>
      <c r="G27" s="26">
        <v>10563.5</v>
      </c>
      <c r="H27" s="25">
        <f t="shared" si="1"/>
        <v>97.03223363468547</v>
      </c>
      <c r="I27" s="33">
        <f>D27-июнь!D27</f>
        <v>2430.5999999999985</v>
      </c>
    </row>
    <row r="28" spans="1:9" ht="12.75">
      <c r="A28" s="51" t="s">
        <v>106</v>
      </c>
      <c r="B28" s="27">
        <v>24668.5</v>
      </c>
      <c r="C28" s="27">
        <v>3550</v>
      </c>
      <c r="D28" s="27">
        <v>2759.3</v>
      </c>
      <c r="E28" s="27">
        <f t="shared" si="0"/>
        <v>11.185519995135497</v>
      </c>
      <c r="F28" s="27">
        <v>536.1</v>
      </c>
      <c r="G28" s="34">
        <v>3827.9</v>
      </c>
      <c r="H28" s="25">
        <f t="shared" si="1"/>
        <v>92.74014472687374</v>
      </c>
      <c r="I28" s="33">
        <f>D28-июнь!D28</f>
        <v>575.7000000000003</v>
      </c>
    </row>
    <row r="29" spans="1:9" ht="12.75">
      <c r="A29" s="51" t="s">
        <v>107</v>
      </c>
      <c r="B29" s="27">
        <v>17786.1</v>
      </c>
      <c r="C29" s="27">
        <v>6700</v>
      </c>
      <c r="D29" s="27">
        <v>7387.5</v>
      </c>
      <c r="E29" s="27">
        <f t="shared" si="0"/>
        <v>41.53524381398958</v>
      </c>
      <c r="F29" s="27">
        <v>1929.72</v>
      </c>
      <c r="G29" s="27">
        <v>6735.6</v>
      </c>
      <c r="H29" s="25">
        <f t="shared" si="1"/>
        <v>99.47146505136885</v>
      </c>
      <c r="I29" s="33">
        <f>D29-июнь!D29</f>
        <v>1854.8999999999996</v>
      </c>
    </row>
    <row r="30" spans="1:9" ht="12.75">
      <c r="A30" s="47" t="s">
        <v>9</v>
      </c>
      <c r="B30" s="26">
        <f>SUM(B31:B33)</f>
        <v>15600</v>
      </c>
      <c r="C30" s="26">
        <f>SUM(C31:C33)</f>
        <v>9025</v>
      </c>
      <c r="D30" s="26">
        <f>SUM(D31:D33)</f>
        <v>10389</v>
      </c>
      <c r="E30" s="26">
        <f t="shared" si="0"/>
        <v>66.59615384615385</v>
      </c>
      <c r="F30" s="26">
        <v>793.07</v>
      </c>
      <c r="G30" s="26">
        <v>9365.5</v>
      </c>
      <c r="H30" s="25">
        <f t="shared" si="1"/>
        <v>96.36431584005125</v>
      </c>
      <c r="I30" s="33">
        <f>D30-июнь!D30</f>
        <v>1425.3999999999996</v>
      </c>
    </row>
    <row r="31" spans="1:9" ht="25.5">
      <c r="A31" s="51" t="s">
        <v>10</v>
      </c>
      <c r="B31" s="27">
        <v>15550</v>
      </c>
      <c r="C31" s="27">
        <v>9000</v>
      </c>
      <c r="D31" s="27">
        <v>10369</v>
      </c>
      <c r="E31" s="27">
        <f t="shared" si="0"/>
        <v>66.68167202572347</v>
      </c>
      <c r="F31" s="27">
        <v>793.07</v>
      </c>
      <c r="G31" s="27">
        <v>9270.7</v>
      </c>
      <c r="H31" s="25">
        <f t="shared" si="1"/>
        <v>97.08004789282361</v>
      </c>
      <c r="I31" s="33">
        <f>D31-июнь!D31</f>
        <v>1425.3999999999996</v>
      </c>
    </row>
    <row r="32" spans="1:9" ht="25.5">
      <c r="A32" s="51" t="s">
        <v>91</v>
      </c>
      <c r="B32" s="27">
        <v>0</v>
      </c>
      <c r="C32" s="27">
        <v>0</v>
      </c>
      <c r="D32" s="27">
        <v>0</v>
      </c>
      <c r="E32" s="27" t="s">
        <v>148</v>
      </c>
      <c r="F32" s="27">
        <v>0</v>
      </c>
      <c r="G32" s="107">
        <v>44.8</v>
      </c>
      <c r="H32" s="25">
        <f t="shared" si="1"/>
        <v>0</v>
      </c>
      <c r="I32" s="33">
        <f>D32-июнь!D32</f>
        <v>0</v>
      </c>
    </row>
    <row r="33" spans="1:9" ht="25.5">
      <c r="A33" s="51" t="s">
        <v>90</v>
      </c>
      <c r="B33" s="27">
        <v>50</v>
      </c>
      <c r="C33" s="27">
        <v>25</v>
      </c>
      <c r="D33" s="27">
        <v>20</v>
      </c>
      <c r="E33" s="27">
        <f t="shared" si="0"/>
        <v>40</v>
      </c>
      <c r="F33" s="27">
        <v>0</v>
      </c>
      <c r="G33" s="107">
        <v>50</v>
      </c>
      <c r="H33" s="25">
        <f t="shared" si="1"/>
        <v>50</v>
      </c>
      <c r="I33" s="33">
        <f>D33-июнь!D33</f>
        <v>0</v>
      </c>
    </row>
    <row r="34" spans="1:9" ht="25.5" hidden="1">
      <c r="A34" s="54" t="s">
        <v>11</v>
      </c>
      <c r="B34" s="27">
        <v>0</v>
      </c>
      <c r="C34" s="27">
        <v>0</v>
      </c>
      <c r="D34" s="27">
        <v>0.02</v>
      </c>
      <c r="E34" s="25" t="e">
        <f t="shared" si="0"/>
        <v>#DIV/0!</v>
      </c>
      <c r="F34" s="25">
        <v>0</v>
      </c>
      <c r="G34" s="27">
        <v>0.02</v>
      </c>
      <c r="H34" s="25">
        <f t="shared" si="1"/>
        <v>0</v>
      </c>
      <c r="I34" s="33">
        <f>D34-июнь!D34</f>
        <v>0</v>
      </c>
    </row>
    <row r="35" spans="1:9" ht="25.5" hidden="1">
      <c r="A35" s="51" t="s">
        <v>116</v>
      </c>
      <c r="B35" s="33">
        <v>0</v>
      </c>
      <c r="C35" s="33">
        <v>0</v>
      </c>
      <c r="D35" s="33">
        <v>0.02</v>
      </c>
      <c r="E35" s="25" t="e">
        <f t="shared" si="0"/>
        <v>#DIV/0!</v>
      </c>
      <c r="F35" s="25">
        <v>0</v>
      </c>
      <c r="G35" s="33">
        <v>0.02</v>
      </c>
      <c r="H35" s="25">
        <f t="shared" si="1"/>
        <v>0</v>
      </c>
      <c r="I35" s="33">
        <f>D35-июнь!D35</f>
        <v>0</v>
      </c>
    </row>
    <row r="36" spans="1:9" ht="25.5" hidden="1">
      <c r="A36" s="51" t="s">
        <v>92</v>
      </c>
      <c r="B36" s="27">
        <v>0</v>
      </c>
      <c r="C36" s="27">
        <v>0</v>
      </c>
      <c r="D36" s="27">
        <v>0</v>
      </c>
      <c r="E36" s="25" t="e">
        <f t="shared" si="0"/>
        <v>#DIV/0!</v>
      </c>
      <c r="F36" s="25">
        <v>0</v>
      </c>
      <c r="G36" s="27">
        <v>0</v>
      </c>
      <c r="H36" s="25" t="e">
        <f t="shared" si="1"/>
        <v>#DIV/0!</v>
      </c>
      <c r="I36" s="33">
        <f>D36-июнь!D36</f>
        <v>0</v>
      </c>
    </row>
    <row r="37" spans="1:9" ht="38.25">
      <c r="A37" s="54" t="s">
        <v>150</v>
      </c>
      <c r="B37" s="27">
        <v>0</v>
      </c>
      <c r="C37" s="27">
        <v>0</v>
      </c>
      <c r="D37" s="27">
        <v>-8.11</v>
      </c>
      <c r="E37" s="25">
        <v>0</v>
      </c>
      <c r="F37" s="25"/>
      <c r="G37" s="26">
        <v>0</v>
      </c>
      <c r="H37" s="25">
        <v>0</v>
      </c>
      <c r="I37" s="33">
        <f>D37-июнь!D37</f>
        <v>0</v>
      </c>
    </row>
    <row r="38" spans="1:9" ht="39.75" customHeight="1">
      <c r="A38" s="54" t="s">
        <v>12</v>
      </c>
      <c r="B38" s="26">
        <f>SUM(B40:B46)</f>
        <v>57702.52</v>
      </c>
      <c r="C38" s="26">
        <f>SUM(C40:C46)</f>
        <v>34292.9</v>
      </c>
      <c r="D38" s="26">
        <f>SUM(D40:D46)</f>
        <v>36633.87</v>
      </c>
      <c r="E38" s="26">
        <f t="shared" si="0"/>
        <v>63.48746987133318</v>
      </c>
      <c r="F38" s="26">
        <v>3247.05</v>
      </c>
      <c r="G38" s="26">
        <v>30785.699999999997</v>
      </c>
      <c r="H38" s="25">
        <f t="shared" si="1"/>
        <v>111.39230227020988</v>
      </c>
      <c r="I38" s="33">
        <f>D38-июнь!D38</f>
        <v>12040.36</v>
      </c>
    </row>
    <row r="39" spans="1:9" ht="81.75" customHeight="1" hidden="1">
      <c r="A39" s="51" t="s">
        <v>114</v>
      </c>
      <c r="B39" s="27"/>
      <c r="C39" s="27"/>
      <c r="D39" s="27"/>
      <c r="E39" s="25" t="e">
        <f t="shared" si="0"/>
        <v>#DIV/0!</v>
      </c>
      <c r="F39" s="25"/>
      <c r="G39" s="27"/>
      <c r="H39" s="25" t="e">
        <f t="shared" si="1"/>
        <v>#DIV/0!</v>
      </c>
      <c r="I39" s="33">
        <f>D39-июнь!D39</f>
        <v>0</v>
      </c>
    </row>
    <row r="40" spans="1:9" ht="76.5">
      <c r="A40" s="51" t="s">
        <v>117</v>
      </c>
      <c r="B40" s="27">
        <v>29271.18</v>
      </c>
      <c r="C40" s="27">
        <v>17074.9</v>
      </c>
      <c r="D40" s="27">
        <v>21173.7</v>
      </c>
      <c r="E40" s="27">
        <f t="shared" si="0"/>
        <v>72.33633902015566</v>
      </c>
      <c r="F40" s="27">
        <v>2393.3</v>
      </c>
      <c r="G40" s="34">
        <v>17434.6</v>
      </c>
      <c r="H40" s="25">
        <f t="shared" si="1"/>
        <v>97.93686118408225</v>
      </c>
      <c r="I40" s="33">
        <f>D40-июнь!D40</f>
        <v>9034.900000000001</v>
      </c>
    </row>
    <row r="41" spans="1:9" ht="76.5">
      <c r="A41" s="51" t="s">
        <v>125</v>
      </c>
      <c r="B41" s="27">
        <v>5434.31</v>
      </c>
      <c r="C41" s="27">
        <v>3170</v>
      </c>
      <c r="D41" s="27">
        <v>3648.5</v>
      </c>
      <c r="E41" s="27">
        <f t="shared" si="0"/>
        <v>67.13823834120615</v>
      </c>
      <c r="F41" s="27">
        <v>75.44</v>
      </c>
      <c r="G41" s="34">
        <v>2433.6</v>
      </c>
      <c r="H41" s="25">
        <f t="shared" si="1"/>
        <v>130.25969756738988</v>
      </c>
      <c r="I41" s="33">
        <f>D41-июнь!D41</f>
        <v>965.7600000000002</v>
      </c>
    </row>
    <row r="42" spans="1:9" ht="76.5">
      <c r="A42" s="51" t="s">
        <v>118</v>
      </c>
      <c r="B42" s="27">
        <v>515.73</v>
      </c>
      <c r="C42" s="27">
        <v>295.9</v>
      </c>
      <c r="D42" s="27">
        <v>424.8</v>
      </c>
      <c r="E42" s="27">
        <f t="shared" si="0"/>
        <v>82.36868128671979</v>
      </c>
      <c r="F42" s="27">
        <v>3.43</v>
      </c>
      <c r="G42" s="34">
        <v>278.1</v>
      </c>
      <c r="H42" s="25">
        <f t="shared" si="1"/>
        <v>106.40057533261415</v>
      </c>
      <c r="I42" s="33">
        <f>D42-июнь!D42</f>
        <v>41.69999999999999</v>
      </c>
    </row>
    <row r="43" spans="1:9" ht="38.25">
      <c r="A43" s="51" t="s">
        <v>119</v>
      </c>
      <c r="B43" s="27">
        <v>17384.33</v>
      </c>
      <c r="C43" s="27">
        <v>10140.9</v>
      </c>
      <c r="D43" s="27">
        <v>8697.8</v>
      </c>
      <c r="E43" s="27">
        <f t="shared" si="0"/>
        <v>50.03241424892416</v>
      </c>
      <c r="F43" s="27">
        <v>538.73</v>
      </c>
      <c r="G43" s="34">
        <v>8396</v>
      </c>
      <c r="H43" s="25">
        <f t="shared" si="1"/>
        <v>120.7825154835636</v>
      </c>
      <c r="I43" s="33">
        <f>D43-июнь!D43</f>
        <v>1775.8999999999996</v>
      </c>
    </row>
    <row r="44" spans="1:9" ht="44.25" customHeight="1">
      <c r="A44" s="51" t="s">
        <v>147</v>
      </c>
      <c r="B44" s="27">
        <v>62.2</v>
      </c>
      <c r="C44" s="27">
        <v>36.3</v>
      </c>
      <c r="D44" s="27">
        <v>13.7</v>
      </c>
      <c r="E44" s="27">
        <f t="shared" si="0"/>
        <v>22.02572347266881</v>
      </c>
      <c r="F44" s="27"/>
      <c r="G44" s="34">
        <v>10.4</v>
      </c>
      <c r="H44" s="25" t="s">
        <v>148</v>
      </c>
      <c r="I44" s="33">
        <f>D44-июнь!D44</f>
        <v>0</v>
      </c>
    </row>
    <row r="45" spans="1:9" ht="51">
      <c r="A45" s="51" t="s">
        <v>120</v>
      </c>
      <c r="B45" s="27">
        <v>1531</v>
      </c>
      <c r="C45" s="27">
        <v>1531</v>
      </c>
      <c r="D45" s="27">
        <v>1027.37</v>
      </c>
      <c r="E45" s="27">
        <f t="shared" si="0"/>
        <v>67.10450685826257</v>
      </c>
      <c r="F45" s="27">
        <v>0</v>
      </c>
      <c r="G45" s="34">
        <v>477.6</v>
      </c>
      <c r="H45" s="25" t="s">
        <v>148</v>
      </c>
      <c r="I45" s="33">
        <f>D45-июнь!D45</f>
        <v>0</v>
      </c>
    </row>
    <row r="46" spans="1:9" ht="76.5">
      <c r="A46" s="51" t="s">
        <v>121</v>
      </c>
      <c r="B46" s="27">
        <v>3503.77</v>
      </c>
      <c r="C46" s="27">
        <v>2043.9</v>
      </c>
      <c r="D46" s="27">
        <v>1648</v>
      </c>
      <c r="E46" s="27">
        <f t="shared" si="0"/>
        <v>47.03505081669174</v>
      </c>
      <c r="F46" s="27">
        <v>236.15</v>
      </c>
      <c r="G46" s="27">
        <v>1755.4</v>
      </c>
      <c r="H46" s="25">
        <f t="shared" si="1"/>
        <v>116.43500056967073</v>
      </c>
      <c r="I46" s="33">
        <f>D46-июнь!D46</f>
        <v>222.0999999999999</v>
      </c>
    </row>
    <row r="47" spans="1:9" ht="27" customHeight="1">
      <c r="A47" s="54" t="s">
        <v>13</v>
      </c>
      <c r="B47" s="33">
        <v>598.72</v>
      </c>
      <c r="C47" s="33">
        <v>411.2</v>
      </c>
      <c r="D47" s="33">
        <v>2643.5</v>
      </c>
      <c r="E47" s="33">
        <f t="shared" si="0"/>
        <v>441.5252538749332</v>
      </c>
      <c r="F47" s="33">
        <v>43.6</v>
      </c>
      <c r="G47" s="26">
        <v>555</v>
      </c>
      <c r="H47" s="33">
        <f t="shared" si="1"/>
        <v>74.09009009009009</v>
      </c>
      <c r="I47" s="33">
        <f>D47-июнь!D47</f>
        <v>357.5</v>
      </c>
    </row>
    <row r="48" spans="1:9" ht="25.5">
      <c r="A48" s="54" t="s">
        <v>96</v>
      </c>
      <c r="B48" s="33">
        <v>1290.36</v>
      </c>
      <c r="C48" s="33">
        <v>805.3</v>
      </c>
      <c r="D48" s="33">
        <v>1284</v>
      </c>
      <c r="E48" s="33">
        <f t="shared" si="0"/>
        <v>99.50711429368549</v>
      </c>
      <c r="F48" s="33">
        <v>561.58</v>
      </c>
      <c r="G48" s="26">
        <v>9372.8</v>
      </c>
      <c r="H48" s="33">
        <f t="shared" si="1"/>
        <v>8.591882895186071</v>
      </c>
      <c r="I48" s="33">
        <f>D48-июнь!D48</f>
        <v>239.9000000000001</v>
      </c>
    </row>
    <row r="49" spans="1:9" ht="25.5">
      <c r="A49" s="54" t="s">
        <v>14</v>
      </c>
      <c r="B49" s="33">
        <f>SUM(B50:B52)</f>
        <v>46800</v>
      </c>
      <c r="C49" s="33">
        <f>SUM(C50:C52)</f>
        <v>0</v>
      </c>
      <c r="D49" s="33">
        <f>SUM(D50:D52)</f>
        <v>4211.6</v>
      </c>
      <c r="E49" s="25">
        <f t="shared" si="0"/>
        <v>8.999145299145301</v>
      </c>
      <c r="F49" s="25">
        <v>585.5</v>
      </c>
      <c r="G49" s="33">
        <v>1841</v>
      </c>
      <c r="H49" s="25">
        <f t="shared" si="1"/>
        <v>0</v>
      </c>
      <c r="I49" s="33">
        <f>D49-июнь!D49</f>
        <v>2462.7000000000003</v>
      </c>
    </row>
    <row r="50" spans="1:9" ht="12.75">
      <c r="A50" s="51" t="s">
        <v>94</v>
      </c>
      <c r="B50" s="27">
        <v>0</v>
      </c>
      <c r="C50" s="27">
        <v>0</v>
      </c>
      <c r="D50" s="27">
        <v>0</v>
      </c>
      <c r="E50" s="25">
        <v>0</v>
      </c>
      <c r="F50" s="25">
        <v>0</v>
      </c>
      <c r="G50" s="27">
        <v>0</v>
      </c>
      <c r="H50" s="25" t="s">
        <v>148</v>
      </c>
      <c r="I50" s="33">
        <f>D50-июнь!D50</f>
        <v>0</v>
      </c>
    </row>
    <row r="51" spans="1:9" ht="76.5">
      <c r="A51" s="51" t="s">
        <v>95</v>
      </c>
      <c r="B51" s="27">
        <v>45400</v>
      </c>
      <c r="C51" s="27">
        <v>0</v>
      </c>
      <c r="D51" s="27">
        <v>0</v>
      </c>
      <c r="E51" s="25">
        <f t="shared" si="0"/>
        <v>0</v>
      </c>
      <c r="F51" s="25">
        <v>37.14</v>
      </c>
      <c r="G51" s="83">
        <v>0</v>
      </c>
      <c r="H51" s="25" t="s">
        <v>148</v>
      </c>
      <c r="I51" s="33">
        <f>D51-июнь!D51</f>
        <v>0</v>
      </c>
    </row>
    <row r="52" spans="1:9" ht="17.25" customHeight="1">
      <c r="A52" s="51" t="s">
        <v>93</v>
      </c>
      <c r="B52" s="27">
        <v>1400</v>
      </c>
      <c r="C52" s="27">
        <v>0</v>
      </c>
      <c r="D52" s="27">
        <v>4211.6</v>
      </c>
      <c r="E52" s="27">
        <f t="shared" si="0"/>
        <v>300.8285714285714</v>
      </c>
      <c r="F52" s="27">
        <v>548.36</v>
      </c>
      <c r="G52" s="27">
        <v>1841</v>
      </c>
      <c r="H52" s="25">
        <f t="shared" si="1"/>
        <v>0</v>
      </c>
      <c r="I52" s="33">
        <f>D52-июнь!D52</f>
        <v>2462.7000000000003</v>
      </c>
    </row>
    <row r="53" spans="1:9" ht="12.75">
      <c r="A53" s="54" t="s">
        <v>15</v>
      </c>
      <c r="B53" s="33">
        <v>-1455.1</v>
      </c>
      <c r="C53" s="33">
        <v>-3081.1</v>
      </c>
      <c r="D53" s="33">
        <v>-2514.3</v>
      </c>
      <c r="E53" s="26">
        <f t="shared" si="0"/>
        <v>172.792247955467</v>
      </c>
      <c r="F53" s="26">
        <v>179.73</v>
      </c>
      <c r="G53" s="26">
        <v>4043</v>
      </c>
      <c r="H53" s="25">
        <f t="shared" si="1"/>
        <v>-76.20826119218403</v>
      </c>
      <c r="I53" s="33">
        <f>D53-июнь!D53</f>
        <v>300.8399999999997</v>
      </c>
    </row>
    <row r="54" spans="1:9" ht="63.75" hidden="1">
      <c r="A54" s="51" t="s">
        <v>126</v>
      </c>
      <c r="B54" s="33">
        <v>223.07</v>
      </c>
      <c r="C54" s="33">
        <v>20</v>
      </c>
      <c r="D54" s="33"/>
      <c r="E54" s="26">
        <f t="shared" si="0"/>
        <v>0</v>
      </c>
      <c r="F54" s="26"/>
      <c r="G54" s="26"/>
      <c r="H54" s="25" t="e">
        <f t="shared" si="1"/>
        <v>#DIV/0!</v>
      </c>
      <c r="I54" s="33">
        <f>D54-июнь!D54</f>
        <v>0</v>
      </c>
    </row>
    <row r="55" spans="1:9" ht="89.25" hidden="1">
      <c r="A55" s="51" t="s">
        <v>127</v>
      </c>
      <c r="B55" s="33">
        <v>223.07</v>
      </c>
      <c r="C55" s="33">
        <v>20</v>
      </c>
      <c r="D55" s="33"/>
      <c r="E55" s="26">
        <f t="shared" si="0"/>
        <v>0</v>
      </c>
      <c r="F55" s="26"/>
      <c r="G55" s="26"/>
      <c r="H55" s="25" t="e">
        <f t="shared" si="1"/>
        <v>#DIV/0!</v>
      </c>
      <c r="I55" s="33">
        <f>D55-июнь!D55</f>
        <v>0</v>
      </c>
    </row>
    <row r="56" spans="1:9" ht="63.75" hidden="1">
      <c r="A56" s="51" t="s">
        <v>128</v>
      </c>
      <c r="B56" s="33">
        <v>223.07</v>
      </c>
      <c r="C56" s="33">
        <v>20</v>
      </c>
      <c r="D56" s="33"/>
      <c r="E56" s="26">
        <f t="shared" si="0"/>
        <v>0</v>
      </c>
      <c r="F56" s="26"/>
      <c r="G56" s="26"/>
      <c r="H56" s="25" t="e">
        <f t="shared" si="1"/>
        <v>#DIV/0!</v>
      </c>
      <c r="I56" s="33">
        <f>D56-июнь!D56</f>
        <v>0</v>
      </c>
    </row>
    <row r="57" spans="1:9" ht="29.25" customHeight="1" hidden="1">
      <c r="A57" s="51" t="s">
        <v>129</v>
      </c>
      <c r="B57" s="33">
        <v>223.07</v>
      </c>
      <c r="C57" s="33">
        <v>20</v>
      </c>
      <c r="D57" s="33"/>
      <c r="E57" s="26">
        <f t="shared" si="0"/>
        <v>0</v>
      </c>
      <c r="F57" s="26"/>
      <c r="G57" s="26"/>
      <c r="H57" s="25" t="e">
        <f t="shared" si="1"/>
        <v>#DIV/0!</v>
      </c>
      <c r="I57" s="33">
        <f>D57-июнь!D57</f>
        <v>0</v>
      </c>
    </row>
    <row r="58" spans="1:9" ht="38.25" customHeight="1" hidden="1">
      <c r="A58" s="51" t="s">
        <v>130</v>
      </c>
      <c r="B58" s="33">
        <v>223.07</v>
      </c>
      <c r="C58" s="33">
        <v>20</v>
      </c>
      <c r="D58" s="33"/>
      <c r="E58" s="26">
        <f t="shared" si="0"/>
        <v>0</v>
      </c>
      <c r="F58" s="26"/>
      <c r="G58" s="26"/>
      <c r="H58" s="25" t="e">
        <f t="shared" si="1"/>
        <v>#DIV/0!</v>
      </c>
      <c r="I58" s="33">
        <f>D58-июнь!D58</f>
        <v>0</v>
      </c>
    </row>
    <row r="59" spans="1:9" ht="43.5" customHeight="1" hidden="1">
      <c r="A59" s="51" t="s">
        <v>131</v>
      </c>
      <c r="B59" s="33">
        <v>223.07</v>
      </c>
      <c r="C59" s="33">
        <v>20</v>
      </c>
      <c r="D59" s="33"/>
      <c r="E59" s="26">
        <f t="shared" si="0"/>
        <v>0</v>
      </c>
      <c r="F59" s="26"/>
      <c r="G59" s="26"/>
      <c r="H59" s="25" t="e">
        <f t="shared" si="1"/>
        <v>#DIV/0!</v>
      </c>
      <c r="I59" s="33">
        <f>D59-июнь!D59</f>
        <v>0</v>
      </c>
    </row>
    <row r="60" spans="1:9" ht="40.5" customHeight="1" hidden="1">
      <c r="A60" s="51" t="s">
        <v>132</v>
      </c>
      <c r="B60" s="33">
        <v>223.07</v>
      </c>
      <c r="C60" s="33">
        <v>20</v>
      </c>
      <c r="D60" s="33"/>
      <c r="E60" s="26">
        <f t="shared" si="0"/>
        <v>0</v>
      </c>
      <c r="F60" s="26"/>
      <c r="G60" s="26"/>
      <c r="H60" s="25" t="e">
        <f t="shared" si="1"/>
        <v>#DIV/0!</v>
      </c>
      <c r="I60" s="33">
        <f>D60-июнь!D60</f>
        <v>0</v>
      </c>
    </row>
    <row r="61" spans="1:9" ht="51" hidden="1">
      <c r="A61" s="51" t="s">
        <v>133</v>
      </c>
      <c r="B61" s="33">
        <v>223.07</v>
      </c>
      <c r="C61" s="33">
        <v>20</v>
      </c>
      <c r="D61" s="33"/>
      <c r="E61" s="26">
        <f t="shared" si="0"/>
        <v>0</v>
      </c>
      <c r="F61" s="26"/>
      <c r="G61" s="33"/>
      <c r="H61" s="25" t="e">
        <f t="shared" si="1"/>
        <v>#DIV/0!</v>
      </c>
      <c r="I61" s="33">
        <f>D61-июнь!D61</f>
        <v>0</v>
      </c>
    </row>
    <row r="62" spans="1:9" ht="76.5" hidden="1">
      <c r="A62" s="51" t="s">
        <v>134</v>
      </c>
      <c r="B62" s="33">
        <v>223.07</v>
      </c>
      <c r="C62" s="33">
        <v>20</v>
      </c>
      <c r="D62" s="33"/>
      <c r="E62" s="26">
        <f t="shared" si="0"/>
        <v>0</v>
      </c>
      <c r="F62" s="26"/>
      <c r="G62" s="33"/>
      <c r="H62" s="25" t="e">
        <f t="shared" si="1"/>
        <v>#DIV/0!</v>
      </c>
      <c r="I62" s="33">
        <f>D62-июнь!D62</f>
        <v>0</v>
      </c>
    </row>
    <row r="63" spans="1:9" ht="12.75" hidden="1">
      <c r="A63" s="51" t="s">
        <v>135</v>
      </c>
      <c r="B63" s="33">
        <v>223.07</v>
      </c>
      <c r="C63" s="33">
        <v>20</v>
      </c>
      <c r="D63" s="33"/>
      <c r="E63" s="26">
        <f t="shared" si="0"/>
        <v>0</v>
      </c>
      <c r="F63" s="26"/>
      <c r="G63" s="103"/>
      <c r="H63" s="25" t="e">
        <f t="shared" si="1"/>
        <v>#DIV/0!</v>
      </c>
      <c r="I63" s="33">
        <f>D63-июнь!D63</f>
        <v>0</v>
      </c>
    </row>
    <row r="64" spans="1:9" ht="12.75">
      <c r="A64" s="47" t="s">
        <v>16</v>
      </c>
      <c r="B64" s="33">
        <v>-1089.27</v>
      </c>
      <c r="C64" s="33">
        <v>-1094</v>
      </c>
      <c r="D64" s="33">
        <v>-406.7</v>
      </c>
      <c r="E64" s="26">
        <f t="shared" si="0"/>
        <v>37.33693207377418</v>
      </c>
      <c r="F64" s="26">
        <v>-38.79</v>
      </c>
      <c r="G64" s="26">
        <v>84.8</v>
      </c>
      <c r="H64" s="25" t="s">
        <v>148</v>
      </c>
      <c r="I64" s="33">
        <f>D64-июнь!D64</f>
        <v>188.90000000000003</v>
      </c>
    </row>
    <row r="65" spans="1:9" ht="12.75">
      <c r="A65" s="54" t="s">
        <v>17</v>
      </c>
      <c r="B65" s="26">
        <f>B64+B53+B49+B48+B47+B38+B30+B27+B22+B17+B8</f>
        <v>743069.1900000001</v>
      </c>
      <c r="C65" s="26">
        <f>C64+C53+C49+C48+C47+C38+C30+C27+C22+C17+C8</f>
        <v>354896.3</v>
      </c>
      <c r="D65" s="26">
        <f>D64+D53+D49+D48+D47+D38+D30+D27+D22+D17+D8+D37</f>
        <v>405068.76</v>
      </c>
      <c r="E65" s="26">
        <f t="shared" si="0"/>
        <v>54.5129263130934</v>
      </c>
      <c r="F65" s="26">
        <v>27699.089999999997</v>
      </c>
      <c r="G65" s="26">
        <v>403607.5</v>
      </c>
      <c r="H65" s="25">
        <f t="shared" si="1"/>
        <v>87.93104687103188</v>
      </c>
      <c r="I65" s="33">
        <f>D65-июнь!D65</f>
        <v>95218.90000000002</v>
      </c>
    </row>
    <row r="66" spans="1:9" ht="12.75">
      <c r="A66" s="54" t="s">
        <v>18</v>
      </c>
      <c r="B66" s="26">
        <f>B67+B72+B73</f>
        <v>3723954.3899999997</v>
      </c>
      <c r="C66" s="26">
        <f>C67+C72+C73</f>
        <v>1771750.76</v>
      </c>
      <c r="D66" s="26">
        <f>D67+D72+D73</f>
        <v>1770208.5999999999</v>
      </c>
      <c r="E66" s="26">
        <f t="shared" si="0"/>
        <v>47.53572183251149</v>
      </c>
      <c r="F66" s="26">
        <v>43822.57000000001</v>
      </c>
      <c r="G66" s="27">
        <v>1227090.8</v>
      </c>
      <c r="H66" s="25">
        <f t="shared" si="1"/>
        <v>144.38628013509677</v>
      </c>
      <c r="I66" s="33">
        <f>D66-июнь!D66</f>
        <v>329570.99999999977</v>
      </c>
    </row>
    <row r="67" spans="1:9" ht="25.5">
      <c r="A67" s="54" t="s">
        <v>19</v>
      </c>
      <c r="B67" s="26">
        <f>SUM(B68:B71)</f>
        <v>3732334.6399999997</v>
      </c>
      <c r="C67" s="26">
        <f>SUM(C68:C71)</f>
        <v>1780131</v>
      </c>
      <c r="D67" s="26">
        <f>SUM(D68:D71)</f>
        <v>1780130.9</v>
      </c>
      <c r="E67" s="26">
        <f t="shared" si="0"/>
        <v>47.69483638798262</v>
      </c>
      <c r="F67" s="26">
        <v>46091.770000000004</v>
      </c>
      <c r="G67" s="27">
        <v>1245463.7</v>
      </c>
      <c r="H67" s="25">
        <f t="shared" si="1"/>
        <v>142.929175695767</v>
      </c>
      <c r="I67" s="33">
        <f>D67-июнь!D67</f>
        <v>329661.3999999999</v>
      </c>
    </row>
    <row r="68" spans="1:9" ht="12.75">
      <c r="A68" s="51" t="s">
        <v>108</v>
      </c>
      <c r="B68" s="27">
        <v>578714.4</v>
      </c>
      <c r="C68" s="27">
        <v>462884</v>
      </c>
      <c r="D68" s="27">
        <v>462883.9</v>
      </c>
      <c r="E68" s="25">
        <f t="shared" si="0"/>
        <v>79.98485954384408</v>
      </c>
      <c r="F68" s="25">
        <v>15902.8</v>
      </c>
      <c r="G68" s="27">
        <v>270862.6</v>
      </c>
      <c r="H68" s="25">
        <f t="shared" si="1"/>
        <v>170.8925484729158</v>
      </c>
      <c r="I68" s="33">
        <f>D68-июнь!D68</f>
        <v>73238.20000000001</v>
      </c>
    </row>
    <row r="69" spans="1:9" ht="12.75" customHeight="1">
      <c r="A69" s="51" t="s">
        <v>109</v>
      </c>
      <c r="B69" s="27">
        <v>1750706.2</v>
      </c>
      <c r="C69" s="27">
        <v>499157.3</v>
      </c>
      <c r="D69" s="27">
        <v>499157.3</v>
      </c>
      <c r="E69" s="25">
        <f t="shared" si="0"/>
        <v>28.5117685651653</v>
      </c>
      <c r="F69" s="25">
        <v>0</v>
      </c>
      <c r="G69" s="27">
        <v>314099.9</v>
      </c>
      <c r="H69" s="25">
        <f t="shared" si="1"/>
        <v>158.91673317947567</v>
      </c>
      <c r="I69" s="33">
        <f>D69-июнь!D69</f>
        <v>156267.3</v>
      </c>
    </row>
    <row r="70" spans="1:9" ht="18.75" customHeight="1">
      <c r="A70" s="51" t="s">
        <v>110</v>
      </c>
      <c r="B70" s="27">
        <v>1341815.2</v>
      </c>
      <c r="C70" s="27">
        <v>784326.1</v>
      </c>
      <c r="D70" s="27">
        <v>784326.1</v>
      </c>
      <c r="E70" s="25">
        <f t="shared" si="0"/>
        <v>58.45261702207577</v>
      </c>
      <c r="F70" s="25">
        <v>30188.97</v>
      </c>
      <c r="G70" s="34">
        <v>625199.4</v>
      </c>
      <c r="H70" s="25">
        <f t="shared" si="1"/>
        <v>125.4521517455071</v>
      </c>
      <c r="I70" s="33">
        <f>D70-июнь!D70</f>
        <v>97119.40000000002</v>
      </c>
    </row>
    <row r="71" spans="1:9" ht="12.75" customHeight="1">
      <c r="A71" s="2" t="s">
        <v>122</v>
      </c>
      <c r="B71" s="27">
        <v>61098.84</v>
      </c>
      <c r="C71" s="27">
        <v>33763.6</v>
      </c>
      <c r="D71" s="27">
        <v>33763.6</v>
      </c>
      <c r="E71" s="25">
        <f t="shared" si="0"/>
        <v>55.260623605947345</v>
      </c>
      <c r="F71" s="25">
        <v>0</v>
      </c>
      <c r="G71" s="83">
        <v>35301.8</v>
      </c>
      <c r="H71" s="25" t="s">
        <v>148</v>
      </c>
      <c r="I71" s="33">
        <f>D71-июнь!D71</f>
        <v>3036.5</v>
      </c>
    </row>
    <row r="72" spans="1:9" ht="12.75" customHeight="1">
      <c r="A72" s="54" t="s">
        <v>113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34">
        <v>0</v>
      </c>
      <c r="H72" s="25" t="s">
        <v>148</v>
      </c>
      <c r="I72" s="33">
        <f>D72-июнь!D72</f>
        <v>0</v>
      </c>
    </row>
    <row r="73" spans="1:13" ht="25.5">
      <c r="A73" s="54" t="s">
        <v>21</v>
      </c>
      <c r="B73" s="27">
        <v>-8380.25</v>
      </c>
      <c r="C73" s="27">
        <v>-8380.239999999998</v>
      </c>
      <c r="D73" s="27">
        <v>-9922.3</v>
      </c>
      <c r="E73" s="26">
        <f t="shared" si="0"/>
        <v>118.4010023567316</v>
      </c>
      <c r="F73" s="26">
        <v>-2269.2</v>
      </c>
      <c r="G73" s="26">
        <v>-18372.9</v>
      </c>
      <c r="H73" s="25">
        <f t="shared" si="1"/>
        <v>45.611961094873415</v>
      </c>
      <c r="I73" s="33">
        <f>D73-июнь!D73</f>
        <v>-90.39999999999964</v>
      </c>
      <c r="K73" s="98"/>
      <c r="L73" s="98"/>
      <c r="M73" s="98"/>
    </row>
    <row r="74" spans="1:9" ht="12.75">
      <c r="A74" s="47" t="s">
        <v>20</v>
      </c>
      <c r="B74" s="26">
        <f>B65+B66-0.1</f>
        <v>4467023.48</v>
      </c>
      <c r="C74" s="26">
        <f>C65+C66-0.2</f>
        <v>2126646.86</v>
      </c>
      <c r="D74" s="26">
        <f>D65+D66-0.1</f>
        <v>2175277.26</v>
      </c>
      <c r="E74" s="25">
        <f>D74/B74*100</f>
        <v>48.696347125536036</v>
      </c>
      <c r="F74" s="25">
        <v>71521.66</v>
      </c>
      <c r="G74" s="33">
        <v>1630698.3</v>
      </c>
      <c r="H74" s="25">
        <f>C74/G74*100</f>
        <v>130.41326283347445</v>
      </c>
      <c r="I74" s="33">
        <f>D74-июнь!D74</f>
        <v>424789.7999999998</v>
      </c>
    </row>
    <row r="75" spans="1:9" ht="12.75" hidden="1">
      <c r="A75" s="54"/>
      <c r="B75" s="61"/>
      <c r="C75" s="61"/>
      <c r="D75" s="61"/>
      <c r="E75" s="45"/>
      <c r="F75" s="45"/>
      <c r="G75" s="61"/>
      <c r="H75" s="45"/>
      <c r="I75" s="61"/>
    </row>
    <row r="76" spans="1:9" ht="12.75" hidden="1">
      <c r="A76" s="54"/>
      <c r="B76" s="56"/>
      <c r="C76" s="56"/>
      <c r="D76" s="56"/>
      <c r="E76" s="45"/>
      <c r="F76" s="45"/>
      <c r="G76" s="56"/>
      <c r="H76" s="45"/>
      <c r="I76" s="56"/>
    </row>
    <row r="77" spans="1:9" ht="12.75" hidden="1">
      <c r="A77" s="47"/>
      <c r="B77" s="57"/>
      <c r="C77" s="57"/>
      <c r="D77" s="57"/>
      <c r="E77" s="45"/>
      <c r="F77" s="45"/>
      <c r="G77" s="57"/>
      <c r="H77" s="45"/>
      <c r="I77" s="57"/>
    </row>
    <row r="78" spans="1:9" ht="12.75" hidden="1">
      <c r="A78" s="89"/>
      <c r="B78" s="33"/>
      <c r="C78" s="33"/>
      <c r="D78" s="33"/>
      <c r="E78" s="25"/>
      <c r="F78" s="25"/>
      <c r="G78" s="33"/>
      <c r="H78" s="25"/>
      <c r="I78" s="33"/>
    </row>
    <row r="79" spans="1:9" ht="12.75">
      <c r="A79" s="121" t="s">
        <v>22</v>
      </c>
      <c r="B79" s="121"/>
      <c r="C79" s="121"/>
      <c r="D79" s="121"/>
      <c r="E79" s="121"/>
      <c r="F79" s="121"/>
      <c r="G79" s="121"/>
      <c r="H79" s="121"/>
      <c r="I79" s="121"/>
    </row>
    <row r="80" spans="1:9" ht="12.75">
      <c r="A80" s="7" t="s">
        <v>23</v>
      </c>
      <c r="B80" s="33">
        <f>B81+B82+B83+B84+B85+B86+B87+B88</f>
        <v>624710.2999999999</v>
      </c>
      <c r="C80" s="33">
        <f>C81+C82+C83+C84+C85+C86+C87+C88</f>
        <v>207722.74</v>
      </c>
      <c r="D80" s="33">
        <f>D81+D82+D83+D84+D85+D86+D87+D88</f>
        <v>204602.63999999998</v>
      </c>
      <c r="E80" s="25">
        <f>$D:$D/$B:$B*100</f>
        <v>32.75160342321873</v>
      </c>
      <c r="F80" s="25">
        <f>$D:$D/$C:$C*100</f>
        <v>98.49794971893785</v>
      </c>
      <c r="G80" s="33">
        <v>91910.70999999999</v>
      </c>
      <c r="H80" s="25">
        <f>$D:$D/$G:$G*100</f>
        <v>222.61022681687476</v>
      </c>
      <c r="I80" s="33">
        <f>D80-июнь!D80</f>
        <v>41800.99999999997</v>
      </c>
    </row>
    <row r="81" spans="1:9" ht="14.25" customHeight="1">
      <c r="A81" s="8" t="s">
        <v>24</v>
      </c>
      <c r="B81" s="27">
        <v>3197.2</v>
      </c>
      <c r="C81" s="27">
        <v>1992.7</v>
      </c>
      <c r="D81" s="27">
        <v>1856.6</v>
      </c>
      <c r="E81" s="28">
        <f>$D:$D/$B:$B*100</f>
        <v>58.06956086575754</v>
      </c>
      <c r="F81" s="28">
        <v>0</v>
      </c>
      <c r="G81" s="104">
        <v>1379.07</v>
      </c>
      <c r="H81" s="28">
        <f aca="true" t="shared" si="2" ref="H81:H129">$D:$D/$G:$G*100</f>
        <v>134.62695874756176</v>
      </c>
      <c r="I81" s="33">
        <f>D81-июнь!D81</f>
        <v>166.19999999999982</v>
      </c>
    </row>
    <row r="82" spans="1:9" ht="12.75">
      <c r="A82" s="8" t="s">
        <v>25</v>
      </c>
      <c r="B82" s="27">
        <v>7698.8</v>
      </c>
      <c r="C82" s="27">
        <v>4243.5</v>
      </c>
      <c r="D82" s="27">
        <v>4060.7</v>
      </c>
      <c r="E82" s="28">
        <f>$D:$D/$B:$B*100</f>
        <v>52.744583571465675</v>
      </c>
      <c r="F82" s="28">
        <f>$D:$D/$C:$C*100</f>
        <v>95.6922351832214</v>
      </c>
      <c r="G82" s="104">
        <v>3524.3</v>
      </c>
      <c r="H82" s="28">
        <f t="shared" si="2"/>
        <v>115.22004369662059</v>
      </c>
      <c r="I82" s="33">
        <f>D82-июнь!D82</f>
        <v>471.5999999999999</v>
      </c>
    </row>
    <row r="83" spans="1:9" ht="25.5">
      <c r="A83" s="8" t="s">
        <v>26</v>
      </c>
      <c r="B83" s="27">
        <v>70929</v>
      </c>
      <c r="C83" s="27">
        <v>39604.2</v>
      </c>
      <c r="D83" s="27">
        <v>37378.8</v>
      </c>
      <c r="E83" s="28">
        <f>$D:$D/$B:$B*100</f>
        <v>52.69889607917777</v>
      </c>
      <c r="F83" s="28">
        <f>$D:$D/$C:$C*100</f>
        <v>94.3808989955611</v>
      </c>
      <c r="G83" s="104">
        <v>32635.92</v>
      </c>
      <c r="H83" s="28">
        <f t="shared" si="2"/>
        <v>114.53269894030873</v>
      </c>
      <c r="I83" s="33">
        <f>D83-июнь!D83</f>
        <v>3768.5</v>
      </c>
    </row>
    <row r="84" spans="1:9" ht="12.75">
      <c r="A84" s="8" t="s">
        <v>72</v>
      </c>
      <c r="B84" s="27">
        <v>4</v>
      </c>
      <c r="C84" s="27">
        <v>3.84</v>
      </c>
      <c r="D84" s="27">
        <v>3.84</v>
      </c>
      <c r="E84" s="28">
        <v>0</v>
      </c>
      <c r="F84" s="28">
        <v>0</v>
      </c>
      <c r="G84" s="104">
        <v>170</v>
      </c>
      <c r="H84" s="28">
        <f t="shared" si="2"/>
        <v>2.2588235294117647</v>
      </c>
      <c r="I84" s="33">
        <f>D84-июнь!D84</f>
        <v>0</v>
      </c>
    </row>
    <row r="85" spans="1:9" ht="25.5">
      <c r="A85" s="1" t="s">
        <v>27</v>
      </c>
      <c r="B85" s="27">
        <v>18122.5</v>
      </c>
      <c r="C85" s="27">
        <v>9580.9</v>
      </c>
      <c r="D85" s="27">
        <v>9349.9</v>
      </c>
      <c r="E85" s="28">
        <f>$D:$D/$B:$B*100</f>
        <v>51.59277141674714</v>
      </c>
      <c r="F85" s="28">
        <v>0</v>
      </c>
      <c r="G85" s="104">
        <v>8304.28</v>
      </c>
      <c r="H85" s="28">
        <f t="shared" si="2"/>
        <v>112.59133844234539</v>
      </c>
      <c r="I85" s="33">
        <f>D85-июнь!D85</f>
        <v>1411.8999999999996</v>
      </c>
    </row>
    <row r="86" spans="1:9" ht="12.75" hidden="1">
      <c r="A86" s="8" t="s">
        <v>28</v>
      </c>
      <c r="B86" s="27">
        <v>0</v>
      </c>
      <c r="C86" s="27">
        <v>0</v>
      </c>
      <c r="D86" s="27">
        <v>0</v>
      </c>
      <c r="E86" s="28">
        <v>0</v>
      </c>
      <c r="F86" s="28">
        <v>0</v>
      </c>
      <c r="G86" s="104">
        <v>8500</v>
      </c>
      <c r="H86" s="28">
        <f t="shared" si="2"/>
        <v>0</v>
      </c>
      <c r="I86" s="33">
        <f>D86-июнь!D86</f>
        <v>0</v>
      </c>
    </row>
    <row r="87" spans="1:9" ht="12.75">
      <c r="A87" s="8" t="s">
        <v>29</v>
      </c>
      <c r="B87" s="27">
        <v>3175.2</v>
      </c>
      <c r="C87" s="27">
        <v>0</v>
      </c>
      <c r="D87" s="27">
        <v>0</v>
      </c>
      <c r="E87" s="28">
        <f>$D:$D/$B:$B*100</f>
        <v>0</v>
      </c>
      <c r="F87" s="28">
        <v>0</v>
      </c>
      <c r="G87" s="104">
        <v>0</v>
      </c>
      <c r="H87" s="28">
        <v>0</v>
      </c>
      <c r="I87" s="33">
        <f>D87-июнь!D87</f>
        <v>0</v>
      </c>
    </row>
    <row r="88" spans="1:9" ht="12.75">
      <c r="A88" s="1" t="s">
        <v>30</v>
      </c>
      <c r="B88" s="27">
        <v>521583.6</v>
      </c>
      <c r="C88" s="27">
        <v>152297.6</v>
      </c>
      <c r="D88" s="27">
        <v>151952.8</v>
      </c>
      <c r="E88" s="28">
        <f>$D:$D/$B:$B*100</f>
        <v>29.13297120538299</v>
      </c>
      <c r="F88" s="28">
        <f>$D:$D/$C:$C*100</f>
        <v>99.77360115983441</v>
      </c>
      <c r="G88" s="104">
        <v>37397.14</v>
      </c>
      <c r="H88" s="28">
        <f t="shared" si="2"/>
        <v>406.3219807717916</v>
      </c>
      <c r="I88" s="33">
        <f>D88-июнь!D88</f>
        <v>35982.79999999999</v>
      </c>
    </row>
    <row r="89" spans="1:9" ht="12.75">
      <c r="A89" s="7" t="s">
        <v>31</v>
      </c>
      <c r="B89" s="26">
        <v>527.7</v>
      </c>
      <c r="C89" s="26">
        <v>311.4</v>
      </c>
      <c r="D89" s="26">
        <v>311.4</v>
      </c>
      <c r="E89" s="25">
        <f>$D:$D/$B:$B*100</f>
        <v>59.010801591813525</v>
      </c>
      <c r="F89" s="25">
        <f>$D:$D/$C:$C*100</f>
        <v>100</v>
      </c>
      <c r="G89" s="105">
        <v>245.23</v>
      </c>
      <c r="H89" s="25">
        <f t="shared" si="2"/>
        <v>126.98283244301267</v>
      </c>
      <c r="I89" s="33">
        <f>D89-июнь!D89</f>
        <v>33.799999999999955</v>
      </c>
    </row>
    <row r="90" spans="1:9" ht="25.5">
      <c r="A90" s="9" t="s">
        <v>32</v>
      </c>
      <c r="B90" s="26">
        <v>36812.7</v>
      </c>
      <c r="C90" s="26">
        <v>14638.6</v>
      </c>
      <c r="D90" s="26">
        <v>14542.8</v>
      </c>
      <c r="E90" s="25">
        <f>$D:$D/$B:$B*100</f>
        <v>39.504844795410285</v>
      </c>
      <c r="F90" s="25">
        <f>$D:$D/$C:$C*100</f>
        <v>99.34556583279821</v>
      </c>
      <c r="G90" s="105">
        <v>3407.49</v>
      </c>
      <c r="H90" s="25">
        <f t="shared" si="2"/>
        <v>426.7892202178143</v>
      </c>
      <c r="I90" s="33">
        <f>D90-июнь!D90</f>
        <v>716.0999999999985</v>
      </c>
    </row>
    <row r="91" spans="1:9" ht="12.75">
      <c r="A91" s="7" t="s">
        <v>33</v>
      </c>
      <c r="B91" s="33">
        <f>B92+B93+B94+B95+B96</f>
        <v>637463.3</v>
      </c>
      <c r="C91" s="33">
        <f>C92+C93+C94+C95+C96</f>
        <v>120636.59999999999</v>
      </c>
      <c r="D91" s="33">
        <f>D92+D93+D94+D95+D96</f>
        <v>120231.20000000001</v>
      </c>
      <c r="E91" s="33">
        <f>E92+E93+E94+E95</f>
        <v>68.65952953033299</v>
      </c>
      <c r="F91" s="33">
        <f>F92+F93+F94+F95</f>
        <v>199.54908002954085</v>
      </c>
      <c r="G91" s="33">
        <v>162939.58000000002</v>
      </c>
      <c r="H91" s="25">
        <f t="shared" si="2"/>
        <v>73.78882405367683</v>
      </c>
      <c r="I91" s="33">
        <f>D91-июнь!D91</f>
        <v>54607.100000000006</v>
      </c>
    </row>
    <row r="92" spans="1:9" ht="12.75" customHeight="1" hidden="1">
      <c r="A92" s="10" t="s">
        <v>64</v>
      </c>
      <c r="B92" s="27">
        <v>0</v>
      </c>
      <c r="C92" s="27">
        <v>0</v>
      </c>
      <c r="D92" s="27">
        <v>0</v>
      </c>
      <c r="E92" s="28">
        <v>0</v>
      </c>
      <c r="F92" s="28">
        <v>0</v>
      </c>
      <c r="G92" s="34"/>
      <c r="H92" s="28" t="e">
        <f t="shared" si="2"/>
        <v>#DIV/0!</v>
      </c>
      <c r="I92" s="33">
        <f>D92-июнь!D92</f>
        <v>0</v>
      </c>
    </row>
    <row r="93" spans="1:9" ht="12.75">
      <c r="A93" s="10" t="s">
        <v>67</v>
      </c>
      <c r="B93" s="27">
        <v>13418.9</v>
      </c>
      <c r="C93" s="27">
        <v>368.9</v>
      </c>
      <c r="D93" s="27">
        <v>368.9</v>
      </c>
      <c r="E93" s="28">
        <f>$D:$D/$B:$B*100</f>
        <v>2.7491076019643934</v>
      </c>
      <c r="F93" s="28">
        <v>0</v>
      </c>
      <c r="G93" s="104">
        <v>0</v>
      </c>
      <c r="H93" s="28">
        <v>0</v>
      </c>
      <c r="I93" s="33">
        <f>D93-июнь!D93</f>
        <v>352.4</v>
      </c>
    </row>
    <row r="94" spans="1:9" ht="12.75">
      <c r="A94" s="8" t="s">
        <v>34</v>
      </c>
      <c r="B94" s="27">
        <v>29101</v>
      </c>
      <c r="C94" s="27">
        <v>14395.8</v>
      </c>
      <c r="D94" s="27">
        <v>14375.9</v>
      </c>
      <c r="E94" s="28">
        <f>$D:$D/$B:$B*100</f>
        <v>49.400020617848185</v>
      </c>
      <c r="F94" s="28">
        <f>$D:$D/$C:$C*100</f>
        <v>99.86176523708305</v>
      </c>
      <c r="G94" s="104">
        <v>13821.38</v>
      </c>
      <c r="H94" s="28">
        <f t="shared" si="2"/>
        <v>104.01204510692854</v>
      </c>
      <c r="I94" s="33">
        <f>D94-июнь!D94</f>
        <v>4844.9</v>
      </c>
    </row>
    <row r="95" spans="1:9" ht="12.75">
      <c r="A95" s="10" t="s">
        <v>77</v>
      </c>
      <c r="B95" s="27">
        <v>550132.6</v>
      </c>
      <c r="C95" s="27">
        <v>91114</v>
      </c>
      <c r="D95" s="27">
        <v>90829.1</v>
      </c>
      <c r="E95" s="28">
        <f>$D:$D/$B:$B*100</f>
        <v>16.51040131052041</v>
      </c>
      <c r="F95" s="28">
        <f>$D:$D/$C:$C*100</f>
        <v>99.6873147924578</v>
      </c>
      <c r="G95" s="104">
        <v>136689.2</v>
      </c>
      <c r="H95" s="28">
        <f t="shared" si="2"/>
        <v>66.44936103218103</v>
      </c>
      <c r="I95" s="33">
        <f>D95-июнь!D95</f>
        <v>48374.00000000001</v>
      </c>
    </row>
    <row r="96" spans="1:9" ht="12.75">
      <c r="A96" s="8" t="s">
        <v>35</v>
      </c>
      <c r="B96" s="27">
        <v>44810.8</v>
      </c>
      <c r="C96" s="27">
        <v>14757.9</v>
      </c>
      <c r="D96" s="27">
        <v>14657.3</v>
      </c>
      <c r="E96" s="28">
        <f>$D:$D/$B:$B*100</f>
        <v>32.70930222178581</v>
      </c>
      <c r="F96" s="28"/>
      <c r="G96" s="104">
        <v>12429</v>
      </c>
      <c r="H96" s="28">
        <f t="shared" si="2"/>
        <v>117.92823235980367</v>
      </c>
      <c r="I96" s="33">
        <f>D96-июнь!D96</f>
        <v>1035.7999999999993</v>
      </c>
    </row>
    <row r="97" spans="1:9" ht="12.75">
      <c r="A97" s="7" t="s">
        <v>36</v>
      </c>
      <c r="B97" s="33">
        <f>B99+B100+B101+B98</f>
        <v>495170.60000000003</v>
      </c>
      <c r="C97" s="26">
        <f>C99+C100+C101+C98</f>
        <v>139423.5</v>
      </c>
      <c r="D97" s="33">
        <f>D99+D100+D101+D98</f>
        <v>138538.2</v>
      </c>
      <c r="E97" s="33">
        <f>E100+E101+E98</f>
        <v>75.30680638840545</v>
      </c>
      <c r="F97" s="25">
        <f>$D:$D/$C:$C*100</f>
        <v>99.36502813370774</v>
      </c>
      <c r="G97" s="33">
        <v>97875.93</v>
      </c>
      <c r="H97" s="25">
        <f t="shared" si="2"/>
        <v>141.54470869395573</v>
      </c>
      <c r="I97" s="33">
        <f>D97-июнь!D97</f>
        <v>39980.90000000001</v>
      </c>
    </row>
    <row r="98" spans="1:9" ht="12.75">
      <c r="A98" s="8" t="s">
        <v>37</v>
      </c>
      <c r="B98" s="27">
        <v>86977.7</v>
      </c>
      <c r="C98" s="27">
        <v>24683</v>
      </c>
      <c r="D98" s="27">
        <v>24683</v>
      </c>
      <c r="E98" s="43">
        <v>0</v>
      </c>
      <c r="F98" s="28">
        <v>0</v>
      </c>
      <c r="G98" s="104">
        <v>4489.4</v>
      </c>
      <c r="H98" s="28">
        <f t="shared" si="2"/>
        <v>549.806210183989</v>
      </c>
      <c r="I98" s="33">
        <f>D98-июнь!D98</f>
        <v>16165.2</v>
      </c>
    </row>
    <row r="99" spans="1:9" ht="12.75">
      <c r="A99" s="8" t="s">
        <v>38</v>
      </c>
      <c r="B99" s="27">
        <v>3889.7</v>
      </c>
      <c r="C99" s="27">
        <v>228.5</v>
      </c>
      <c r="D99" s="27">
        <v>228.5</v>
      </c>
      <c r="E99" s="28">
        <f aca="true" t="shared" si="3" ref="E99:E104">$D:$D/$B:$B*100</f>
        <v>5.874489035144099</v>
      </c>
      <c r="F99" s="28">
        <v>0</v>
      </c>
      <c r="G99" s="104">
        <v>635.75</v>
      </c>
      <c r="H99" s="28">
        <f t="shared" si="2"/>
        <v>35.941801022414474</v>
      </c>
      <c r="I99" s="33">
        <f>D99-июнь!D99</f>
        <v>60.19999999999999</v>
      </c>
    </row>
    <row r="100" spans="1:9" ht="12.75">
      <c r="A100" s="8" t="s">
        <v>39</v>
      </c>
      <c r="B100" s="27">
        <v>296187.3</v>
      </c>
      <c r="C100" s="27">
        <v>50723.4</v>
      </c>
      <c r="D100" s="27">
        <v>50723.4</v>
      </c>
      <c r="E100" s="28">
        <f t="shared" si="3"/>
        <v>17.125447309861023</v>
      </c>
      <c r="F100" s="28">
        <f>$D:$D/$C:$C*100</f>
        <v>100</v>
      </c>
      <c r="G100" s="104">
        <v>30298.98</v>
      </c>
      <c r="H100" s="28">
        <f t="shared" si="2"/>
        <v>167.4095959665969</v>
      </c>
      <c r="I100" s="33">
        <f>D100-июнь!D100</f>
        <v>7532.800000000003</v>
      </c>
    </row>
    <row r="101" spans="1:9" ht="12.75">
      <c r="A101" s="8" t="s">
        <v>40</v>
      </c>
      <c r="B101" s="27">
        <v>108115.9</v>
      </c>
      <c r="C101" s="27">
        <v>63788.6</v>
      </c>
      <c r="D101" s="27">
        <v>62903.3</v>
      </c>
      <c r="E101" s="28">
        <f t="shared" si="3"/>
        <v>58.18135907854442</v>
      </c>
      <c r="F101" s="28">
        <f>$D:$D/$C:$C*100</f>
        <v>98.61213445662706</v>
      </c>
      <c r="G101" s="104">
        <v>62451.8</v>
      </c>
      <c r="H101" s="28">
        <f t="shared" si="2"/>
        <v>100.7229575448586</v>
      </c>
      <c r="I101" s="33">
        <f>D101-июнь!D101</f>
        <v>16222.700000000004</v>
      </c>
    </row>
    <row r="102" spans="1:9" ht="12.75">
      <c r="A102" s="11" t="s">
        <v>115</v>
      </c>
      <c r="B102" s="33">
        <f>B103+B104</f>
        <v>14100.3</v>
      </c>
      <c r="C102" s="33">
        <f>C103+C104</f>
        <v>1865.3</v>
      </c>
      <c r="D102" s="33">
        <f>D103+D104</f>
        <v>1865.3</v>
      </c>
      <c r="E102" s="25">
        <f t="shared" si="3"/>
        <v>13.228796550428005</v>
      </c>
      <c r="F102" s="25"/>
      <c r="G102" s="33">
        <v>633.12</v>
      </c>
      <c r="H102" s="25">
        <f t="shared" si="2"/>
        <v>294.62029315137727</v>
      </c>
      <c r="I102" s="33">
        <f>D102-июнь!D102</f>
        <v>474.0999999999999</v>
      </c>
    </row>
    <row r="103" spans="1:9" ht="25.5">
      <c r="A103" s="39" t="s">
        <v>143</v>
      </c>
      <c r="B103" s="27">
        <v>2094</v>
      </c>
      <c r="C103" s="27">
        <v>1865.3</v>
      </c>
      <c r="D103" s="27">
        <v>1865.3</v>
      </c>
      <c r="E103" s="28">
        <f t="shared" si="3"/>
        <v>89.07831900668577</v>
      </c>
      <c r="F103" s="28"/>
      <c r="G103" s="104">
        <v>633.12</v>
      </c>
      <c r="H103" s="28">
        <f t="shared" si="2"/>
        <v>294.62029315137727</v>
      </c>
      <c r="I103" s="33">
        <f>D103-июнь!D103</f>
        <v>474.0999999999999</v>
      </c>
    </row>
    <row r="104" spans="1:9" ht="25.5">
      <c r="A104" s="8" t="s">
        <v>165</v>
      </c>
      <c r="B104" s="27">
        <v>12006.3</v>
      </c>
      <c r="C104" s="27">
        <v>0</v>
      </c>
      <c r="D104" s="27">
        <v>0</v>
      </c>
      <c r="E104" s="28">
        <f t="shared" si="3"/>
        <v>0</v>
      </c>
      <c r="F104" s="28"/>
      <c r="G104" s="104">
        <v>0</v>
      </c>
      <c r="H104" s="28">
        <v>0</v>
      </c>
      <c r="I104" s="33">
        <f>D104-июнь!D104</f>
        <v>0</v>
      </c>
    </row>
    <row r="105" spans="1:9" ht="12.75">
      <c r="A105" s="11" t="s">
        <v>41</v>
      </c>
      <c r="B105" s="33">
        <f>B106+B107+B109+B110+B111+B108</f>
        <v>1950995.76</v>
      </c>
      <c r="C105" s="33">
        <f>C106+C107+C109+C110+C111+C108</f>
        <v>1116225</v>
      </c>
      <c r="D105" s="33">
        <f>D106+D107+D109+D110+D111+D108</f>
        <v>1116150.7999999998</v>
      </c>
      <c r="E105" s="33">
        <f>E106+E107+E110+E111+E109</f>
        <v>235.4680843793864</v>
      </c>
      <c r="F105" s="33">
        <f>F106+F107+F110+F111+F109</f>
        <v>494.1159280761493</v>
      </c>
      <c r="G105" s="33">
        <v>958800.6</v>
      </c>
      <c r="H105" s="25">
        <f t="shared" si="2"/>
        <v>116.41114951325645</v>
      </c>
      <c r="I105" s="33">
        <f>D105-июнь!D105</f>
        <v>134590.3999999999</v>
      </c>
    </row>
    <row r="106" spans="1:9" ht="12.75">
      <c r="A106" s="8" t="s">
        <v>42</v>
      </c>
      <c r="B106" s="27">
        <v>745107.8</v>
      </c>
      <c r="C106" s="27">
        <v>421900.3</v>
      </c>
      <c r="D106" s="27">
        <v>421900.3</v>
      </c>
      <c r="E106" s="28">
        <f aca="true" t="shared" si="4" ref="E106:E116">$D:$D/$B:$B*100</f>
        <v>56.62271955816326</v>
      </c>
      <c r="F106" s="28">
        <f aca="true" t="shared" si="5" ref="F106:F114">$D:$D/$C:$C*100</f>
        <v>100</v>
      </c>
      <c r="G106" s="104">
        <v>361719.85</v>
      </c>
      <c r="H106" s="28">
        <f t="shared" si="2"/>
        <v>116.63730923254559</v>
      </c>
      <c r="I106" s="33">
        <f>D106-июнь!D106</f>
        <v>32118</v>
      </c>
    </row>
    <row r="107" spans="1:9" ht="12.75">
      <c r="A107" s="8" t="s">
        <v>43</v>
      </c>
      <c r="B107" s="27">
        <v>797908.1</v>
      </c>
      <c r="C107" s="27">
        <v>464233.9</v>
      </c>
      <c r="D107" s="27">
        <v>464205.5</v>
      </c>
      <c r="E107" s="28">
        <f t="shared" si="4"/>
        <v>58.17781521455917</v>
      </c>
      <c r="F107" s="28">
        <f t="shared" si="5"/>
        <v>99.99388239419827</v>
      </c>
      <c r="G107" s="104">
        <v>385988.01</v>
      </c>
      <c r="H107" s="28">
        <f t="shared" si="2"/>
        <v>120.26422789661264</v>
      </c>
      <c r="I107" s="33">
        <f>D107-июнь!D107</f>
        <v>66366.29999999999</v>
      </c>
    </row>
    <row r="108" spans="1:9" ht="12.75">
      <c r="A108" s="21" t="s">
        <v>105</v>
      </c>
      <c r="B108" s="27">
        <v>155268.6</v>
      </c>
      <c r="C108" s="27">
        <v>89775.5</v>
      </c>
      <c r="D108" s="27">
        <v>89775.5</v>
      </c>
      <c r="E108" s="28">
        <f t="shared" si="4"/>
        <v>57.81948185273777</v>
      </c>
      <c r="F108" s="28">
        <f t="shared" si="5"/>
        <v>100</v>
      </c>
      <c r="G108" s="104">
        <v>86704.89</v>
      </c>
      <c r="H108" s="28">
        <f t="shared" si="2"/>
        <v>103.5414496229682</v>
      </c>
      <c r="I108" s="33">
        <f>D108-июнь!D108</f>
        <v>11269</v>
      </c>
    </row>
    <row r="109" spans="1:9" ht="25.5">
      <c r="A109" s="8" t="s">
        <v>123</v>
      </c>
      <c r="B109" s="27">
        <v>374.76</v>
      </c>
      <c r="C109" s="27">
        <v>63.3</v>
      </c>
      <c r="D109" s="27">
        <v>59.6</v>
      </c>
      <c r="E109" s="28">
        <f t="shared" si="4"/>
        <v>15.903511580745011</v>
      </c>
      <c r="F109" s="28">
        <f t="shared" si="5"/>
        <v>94.15481832543445</v>
      </c>
      <c r="G109" s="104">
        <v>377.17</v>
      </c>
      <c r="H109" s="28">
        <f t="shared" si="2"/>
        <v>15.801893045576264</v>
      </c>
      <c r="I109" s="33">
        <f>D109-июнь!D109</f>
        <v>0</v>
      </c>
    </row>
    <row r="110" spans="1:9" ht="12.75">
      <c r="A110" s="8" t="s">
        <v>44</v>
      </c>
      <c r="B110" s="27">
        <v>24342.6</v>
      </c>
      <c r="C110" s="27">
        <v>11791.2</v>
      </c>
      <c r="D110" s="27">
        <v>11791.2</v>
      </c>
      <c r="E110" s="28">
        <f t="shared" si="4"/>
        <v>48.43853984373075</v>
      </c>
      <c r="F110" s="28">
        <f t="shared" si="5"/>
        <v>100</v>
      </c>
      <c r="G110" s="104">
        <v>28760.33</v>
      </c>
      <c r="H110" s="28">
        <f t="shared" si="2"/>
        <v>40.99813875570969</v>
      </c>
      <c r="I110" s="33">
        <f>D110-июнь!D110</f>
        <v>3273.6000000000004</v>
      </c>
    </row>
    <row r="111" spans="1:9" ht="12.75">
      <c r="A111" s="8" t="s">
        <v>45</v>
      </c>
      <c r="B111" s="27">
        <v>227993.9</v>
      </c>
      <c r="C111" s="27">
        <v>128460.8</v>
      </c>
      <c r="D111" s="27">
        <v>128418.7</v>
      </c>
      <c r="E111" s="28">
        <f t="shared" si="4"/>
        <v>56.325498182188205</v>
      </c>
      <c r="F111" s="28">
        <f t="shared" si="5"/>
        <v>99.96722735651655</v>
      </c>
      <c r="G111" s="104">
        <v>95250.35</v>
      </c>
      <c r="H111" s="28">
        <f t="shared" si="2"/>
        <v>134.82228674225343</v>
      </c>
      <c r="I111" s="33">
        <f>D111-июнь!D111</f>
        <v>21563.5</v>
      </c>
    </row>
    <row r="112" spans="1:9" ht="25.5">
      <c r="A112" s="11" t="s">
        <v>46</v>
      </c>
      <c r="B112" s="33">
        <f>B113+B114</f>
        <v>346883.80000000005</v>
      </c>
      <c r="C112" s="33">
        <f>C113+C114</f>
        <v>174644</v>
      </c>
      <c r="D112" s="33">
        <f>D113+D114</f>
        <v>174603.2</v>
      </c>
      <c r="E112" s="25">
        <f t="shared" si="4"/>
        <v>50.33478069601405</v>
      </c>
      <c r="F112" s="25">
        <f t="shared" si="5"/>
        <v>99.97663818968874</v>
      </c>
      <c r="G112" s="33">
        <v>91551.23</v>
      </c>
      <c r="H112" s="25">
        <f t="shared" si="2"/>
        <v>190.71638906435228</v>
      </c>
      <c r="I112" s="33">
        <f>D112-июнь!D112</f>
        <v>22450.900000000023</v>
      </c>
    </row>
    <row r="113" spans="1:9" ht="12.75">
      <c r="A113" s="8" t="s">
        <v>47</v>
      </c>
      <c r="B113" s="27">
        <v>221274.2</v>
      </c>
      <c r="C113" s="27">
        <v>115391.5</v>
      </c>
      <c r="D113" s="27">
        <v>115391.5</v>
      </c>
      <c r="E113" s="28">
        <f t="shared" si="4"/>
        <v>52.148646340151714</v>
      </c>
      <c r="F113" s="28">
        <f t="shared" si="5"/>
        <v>100</v>
      </c>
      <c r="G113" s="104">
        <v>89375.7</v>
      </c>
      <c r="H113" s="28">
        <f t="shared" si="2"/>
        <v>129.10835943103103</v>
      </c>
      <c r="I113" s="33">
        <f>D113-июнь!D113</f>
        <v>19070.399999999994</v>
      </c>
    </row>
    <row r="114" spans="1:9" ht="25.5">
      <c r="A114" s="8" t="s">
        <v>48</v>
      </c>
      <c r="B114" s="27">
        <v>125609.6</v>
      </c>
      <c r="C114" s="27">
        <v>59252.5</v>
      </c>
      <c r="D114" s="27">
        <v>59211.7</v>
      </c>
      <c r="E114" s="28">
        <f t="shared" si="4"/>
        <v>47.139470231574656</v>
      </c>
      <c r="F114" s="28">
        <f t="shared" si="5"/>
        <v>99.931142145901</v>
      </c>
      <c r="G114" s="104">
        <v>2175.53</v>
      </c>
      <c r="H114" s="28">
        <f t="shared" si="2"/>
        <v>2721.7137892835303</v>
      </c>
      <c r="I114" s="33">
        <f>D114-июнь!D114</f>
        <v>3380.5</v>
      </c>
    </row>
    <row r="115" spans="1:9" ht="12.75">
      <c r="A115" s="11" t="s">
        <v>97</v>
      </c>
      <c r="B115" s="33">
        <f>B116</f>
        <v>163.45</v>
      </c>
      <c r="C115" s="33">
        <f>C116</f>
        <v>163.5</v>
      </c>
      <c r="D115" s="33">
        <f>D116</f>
        <v>163.5</v>
      </c>
      <c r="E115" s="25">
        <f t="shared" si="4"/>
        <v>100.0305903946161</v>
      </c>
      <c r="F115" s="25">
        <v>0</v>
      </c>
      <c r="G115" s="33">
        <v>158.13</v>
      </c>
      <c r="H115" s="25">
        <f t="shared" si="2"/>
        <v>103.39594004932651</v>
      </c>
      <c r="I115" s="33">
        <f>D115-июнь!D115</f>
        <v>36.5</v>
      </c>
    </row>
    <row r="116" spans="1:9" ht="12.75">
      <c r="A116" s="8" t="s">
        <v>98</v>
      </c>
      <c r="B116" s="27">
        <v>163.45</v>
      </c>
      <c r="C116" s="27">
        <v>163.5</v>
      </c>
      <c r="D116" s="27">
        <v>163.5</v>
      </c>
      <c r="E116" s="28">
        <f t="shared" si="4"/>
        <v>100.0305903946161</v>
      </c>
      <c r="F116" s="28">
        <v>0</v>
      </c>
      <c r="G116" s="34">
        <v>158.13</v>
      </c>
      <c r="H116" s="28">
        <f t="shared" si="2"/>
        <v>103.39594004932651</v>
      </c>
      <c r="I116" s="33">
        <f>D116-июнь!D116</f>
        <v>36.5</v>
      </c>
    </row>
    <row r="117" spans="1:9" ht="12.75">
      <c r="A117" s="11" t="s">
        <v>49</v>
      </c>
      <c r="B117" s="33">
        <f>B118+B120+B121+B122</f>
        <v>170051.78</v>
      </c>
      <c r="C117" s="33">
        <f>C118+C120+C121+C122</f>
        <v>82360.2</v>
      </c>
      <c r="D117" s="33">
        <f>D118+D120+D121+D122</f>
        <v>82172</v>
      </c>
      <c r="E117" s="33">
        <f>E118+E119+E120+E121</f>
        <v>136.16554442031503</v>
      </c>
      <c r="F117" s="33" t="e">
        <f>F118+F119+F120+F121</f>
        <v>#DIV/0!</v>
      </c>
      <c r="G117" s="33">
        <f>G118+G119+G120+G121+G122</f>
        <v>50936.82000000001</v>
      </c>
      <c r="H117" s="25">
        <f t="shared" si="2"/>
        <v>161.3214173951181</v>
      </c>
      <c r="I117" s="33">
        <f>D117-июнь!D117</f>
        <v>8717.200000000012</v>
      </c>
    </row>
    <row r="118" spans="1:9" ht="12.75">
      <c r="A118" s="8" t="s">
        <v>50</v>
      </c>
      <c r="B118" s="27">
        <v>3025.38</v>
      </c>
      <c r="C118" s="27">
        <v>1132.8</v>
      </c>
      <c r="D118" s="27">
        <v>1132.8</v>
      </c>
      <c r="E118" s="28">
        <f>$D:$D/$B:$B*100</f>
        <v>37.44323027189972</v>
      </c>
      <c r="F118" s="28">
        <v>0</v>
      </c>
      <c r="G118" s="104">
        <v>1291.14</v>
      </c>
      <c r="H118" s="28">
        <f t="shared" si="2"/>
        <v>87.73641897857706</v>
      </c>
      <c r="I118" s="33">
        <f>D118-июнь!D118</f>
        <v>189.5999999999999</v>
      </c>
    </row>
    <row r="119" spans="1:9" ht="12.75" hidden="1">
      <c r="A119" s="8" t="s">
        <v>51</v>
      </c>
      <c r="B119" s="22">
        <v>0</v>
      </c>
      <c r="C119" s="22">
        <v>0</v>
      </c>
      <c r="D119" s="22">
        <v>0</v>
      </c>
      <c r="E119" s="28">
        <v>0</v>
      </c>
      <c r="F119" s="28" t="e">
        <f>$D:$D/$C:$C*100</f>
        <v>#DIV/0!</v>
      </c>
      <c r="G119" s="104">
        <v>0</v>
      </c>
      <c r="H119" s="28" t="e">
        <f t="shared" si="2"/>
        <v>#DIV/0!</v>
      </c>
      <c r="I119" s="33">
        <f>D119-июнь!D119</f>
        <v>0</v>
      </c>
    </row>
    <row r="120" spans="1:9" ht="12.75">
      <c r="A120" s="8" t="s">
        <v>52</v>
      </c>
      <c r="B120" s="27">
        <v>106384.5</v>
      </c>
      <c r="C120" s="27">
        <v>49792.2</v>
      </c>
      <c r="D120" s="27">
        <v>49792.2</v>
      </c>
      <c r="E120" s="28">
        <f>$D:$D/$B:$B*100</f>
        <v>46.80399870281855</v>
      </c>
      <c r="F120" s="28">
        <v>0</v>
      </c>
      <c r="G120" s="104">
        <v>40106.97</v>
      </c>
      <c r="H120" s="28">
        <f t="shared" si="2"/>
        <v>124.14849588487984</v>
      </c>
      <c r="I120" s="33">
        <f>D120-июнь!D120</f>
        <v>1609.2999999999956</v>
      </c>
    </row>
    <row r="121" spans="1:9" ht="12.75">
      <c r="A121" s="8" t="s">
        <v>53</v>
      </c>
      <c r="B121" s="27">
        <v>58037.9</v>
      </c>
      <c r="C121" s="27">
        <v>30173.3</v>
      </c>
      <c r="D121" s="27">
        <v>30132.3</v>
      </c>
      <c r="E121" s="28">
        <f>$D:$D/$B:$B*100</f>
        <v>51.918315445596754</v>
      </c>
      <c r="F121" s="28">
        <f>$D:$D/$C:$C*100</f>
        <v>99.86411827675461</v>
      </c>
      <c r="G121" s="104">
        <v>8441.41</v>
      </c>
      <c r="H121" s="28">
        <f t="shared" si="2"/>
        <v>356.9581385100356</v>
      </c>
      <c r="I121" s="33">
        <f>D121-июнь!D121</f>
        <v>6852</v>
      </c>
    </row>
    <row r="122" spans="1:9" ht="12.75">
      <c r="A122" s="8" t="s">
        <v>54</v>
      </c>
      <c r="B122" s="27">
        <v>2604</v>
      </c>
      <c r="C122" s="27">
        <v>1261.9</v>
      </c>
      <c r="D122" s="27">
        <v>1114.7</v>
      </c>
      <c r="E122" s="28">
        <f>$D:$D/$B:$B*100</f>
        <v>42.80721966205837</v>
      </c>
      <c r="F122" s="28"/>
      <c r="G122" s="104">
        <v>1097.3</v>
      </c>
      <c r="H122" s="28">
        <f t="shared" si="2"/>
        <v>101.58571038002371</v>
      </c>
      <c r="I122" s="33">
        <f>D122-июнь!D122</f>
        <v>66.29999999999995</v>
      </c>
    </row>
    <row r="123" spans="1:9" ht="12.75">
      <c r="A123" s="11" t="s">
        <v>61</v>
      </c>
      <c r="B123" s="26">
        <f>B124+B125+B126</f>
        <v>361142.7</v>
      </c>
      <c r="C123" s="26">
        <f>C124+C125+C126</f>
        <v>134851.4</v>
      </c>
      <c r="D123" s="26">
        <f>D124+D125+D126</f>
        <v>134126.5</v>
      </c>
      <c r="E123" s="25">
        <f>$D:$D/$B:$B*100</f>
        <v>37.13947422999274</v>
      </c>
      <c r="F123" s="25">
        <f>$D:$D/$C:$C*100</f>
        <v>99.46244532870998</v>
      </c>
      <c r="G123" s="26">
        <v>121362.23000000001</v>
      </c>
      <c r="H123" s="25">
        <f t="shared" si="2"/>
        <v>110.51749790688585</v>
      </c>
      <c r="I123" s="33">
        <f>D123-июнь!D123</f>
        <v>27327</v>
      </c>
    </row>
    <row r="124" spans="1:9" ht="12.75">
      <c r="A124" s="39" t="s">
        <v>62</v>
      </c>
      <c r="B124" s="27">
        <v>294545.2</v>
      </c>
      <c r="C124" s="27">
        <v>99606.5</v>
      </c>
      <c r="D124" s="27">
        <v>99001.9</v>
      </c>
      <c r="E124" s="28">
        <f>$D:$D/$B:$B*100</f>
        <v>33.61178522006129</v>
      </c>
      <c r="F124" s="28">
        <f>$D:$D/$C:$C*100</f>
        <v>99.3930115002535</v>
      </c>
      <c r="G124" s="104">
        <v>51034.79</v>
      </c>
      <c r="H124" s="28">
        <f t="shared" si="2"/>
        <v>193.9890415929996</v>
      </c>
      <c r="I124" s="33">
        <f>D124-июнь!D124</f>
        <v>22995.59999999999</v>
      </c>
    </row>
    <row r="125" spans="1:9" ht="24.75" customHeight="1">
      <c r="A125" s="12" t="s">
        <v>63</v>
      </c>
      <c r="B125" s="27">
        <v>61418.5</v>
      </c>
      <c r="C125" s="27">
        <v>32719.4</v>
      </c>
      <c r="D125" s="27">
        <v>32719.4</v>
      </c>
      <c r="E125" s="28">
        <v>0</v>
      </c>
      <c r="F125" s="28">
        <v>0</v>
      </c>
      <c r="G125" s="104">
        <v>68198</v>
      </c>
      <c r="H125" s="28">
        <f t="shared" si="2"/>
        <v>47.977066776151794</v>
      </c>
      <c r="I125" s="33">
        <f>D125-июнь!D125</f>
        <v>4081.100000000002</v>
      </c>
    </row>
    <row r="126" spans="1:9" ht="25.5">
      <c r="A126" s="12" t="s">
        <v>73</v>
      </c>
      <c r="B126" s="27">
        <v>5179</v>
      </c>
      <c r="C126" s="27">
        <v>2525.5</v>
      </c>
      <c r="D126" s="27">
        <v>2405.2</v>
      </c>
      <c r="E126" s="28">
        <f>$D:$D/$B:$B*100</f>
        <v>46.441397953272826</v>
      </c>
      <c r="F126" s="28">
        <f>$D:$D/$C:$C*100</f>
        <v>95.23658681449217</v>
      </c>
      <c r="G126" s="104">
        <v>2129.44</v>
      </c>
      <c r="H126" s="28">
        <f t="shared" si="2"/>
        <v>112.94988353745585</v>
      </c>
      <c r="I126" s="33">
        <f>D126-июнь!D126</f>
        <v>250.29999999999973</v>
      </c>
    </row>
    <row r="127" spans="1:9" s="99" customFormat="1" ht="26.25" customHeight="1">
      <c r="A127" s="13" t="s">
        <v>80</v>
      </c>
      <c r="B127" s="26">
        <v>5.8</v>
      </c>
      <c r="C127" s="26">
        <v>5.75</v>
      </c>
      <c r="D127" s="26">
        <v>5.75</v>
      </c>
      <c r="E127" s="25">
        <f>$D:$D/$B:$B*100</f>
        <v>99.13793103448276</v>
      </c>
      <c r="F127" s="25">
        <v>0</v>
      </c>
      <c r="G127" s="104">
        <v>2.01384</v>
      </c>
      <c r="H127" s="28">
        <f t="shared" si="2"/>
        <v>285.52417272474474</v>
      </c>
      <c r="I127" s="33">
        <f>D127-июнь!D127</f>
        <v>0</v>
      </c>
    </row>
    <row r="128" spans="1:9" ht="13.5" customHeight="1">
      <c r="A128" s="12" t="s">
        <v>81</v>
      </c>
      <c r="B128" s="27">
        <v>5.8</v>
      </c>
      <c r="C128" s="27">
        <v>5.75</v>
      </c>
      <c r="D128" s="27">
        <v>5.75</v>
      </c>
      <c r="E128" s="28">
        <f>$D:$D/$B:$B*100</f>
        <v>99.13793103448276</v>
      </c>
      <c r="F128" s="28">
        <v>0</v>
      </c>
      <c r="G128" s="34">
        <v>2.01</v>
      </c>
      <c r="H128" s="28">
        <f t="shared" si="2"/>
        <v>286.06965174129357</v>
      </c>
      <c r="I128" s="33">
        <f>D128-июнь!D128</f>
        <v>0</v>
      </c>
    </row>
    <row r="129" spans="1:9" ht="15.75" customHeight="1">
      <c r="A129" s="14" t="s">
        <v>55</v>
      </c>
      <c r="B129" s="33">
        <f>B80+B89+B90+B91+B97+B105+B112+B115+B117+B123+B127+B102</f>
        <v>4638028.19</v>
      </c>
      <c r="C129" s="33">
        <f>C80+C89+C90+C91+C97+C105+C112+C115+C117+C123+C127+C102</f>
        <v>1992847.9899999998</v>
      </c>
      <c r="D129" s="33">
        <f>D80+D89+D90+D91+D97+D105+D112+D115+D117+D123+D127+D102+0.1</f>
        <v>1987313.39</v>
      </c>
      <c r="E129" s="25">
        <f>$D:$D/$B:$B*100</f>
        <v>42.848238703784155</v>
      </c>
      <c r="F129" s="25">
        <f>$D:$D/$C:$C*100</f>
        <v>99.72227686066513</v>
      </c>
      <c r="G129" s="33">
        <v>1579823.08384</v>
      </c>
      <c r="H129" s="25">
        <f t="shared" si="2"/>
        <v>125.79341385299503</v>
      </c>
      <c r="I129" s="33">
        <f>D129-июнь!D129</f>
        <v>330734.99999999977</v>
      </c>
    </row>
    <row r="130" spans="1:9" ht="26.25" customHeight="1">
      <c r="A130" s="79" t="s">
        <v>56</v>
      </c>
      <c r="B130" s="80">
        <f>B74-B129</f>
        <v>-171004.70999999996</v>
      </c>
      <c r="C130" s="80">
        <f>C74-C129</f>
        <v>133798.8700000001</v>
      </c>
      <c r="D130" s="80">
        <f>D74-D129</f>
        <v>187963.86999999988</v>
      </c>
      <c r="E130" s="80"/>
      <c r="F130" s="80"/>
      <c r="G130" s="33">
        <v>50875.21616000007</v>
      </c>
      <c r="H130" s="80"/>
      <c r="I130" s="33">
        <f>D130-июнь!D130</f>
        <v>94054.80000000005</v>
      </c>
    </row>
    <row r="131" spans="1:9" ht="24" customHeight="1">
      <c r="A131" s="1" t="s">
        <v>57</v>
      </c>
      <c r="B131" s="27" t="s">
        <v>159</v>
      </c>
      <c r="C131" s="27"/>
      <c r="D131" s="27" t="s">
        <v>183</v>
      </c>
      <c r="E131" s="27"/>
      <c r="F131" s="27"/>
      <c r="G131" s="27" t="s">
        <v>182</v>
      </c>
      <c r="H131" s="26"/>
      <c r="I131" s="33"/>
    </row>
    <row r="132" spans="1:9" ht="12.75">
      <c r="A132" s="3" t="s">
        <v>58</v>
      </c>
      <c r="B132" s="77">
        <f>B134+B135</f>
        <v>99223.6</v>
      </c>
      <c r="C132" s="77">
        <f>C134+C135</f>
        <v>0</v>
      </c>
      <c r="D132" s="77">
        <f>D134+D135</f>
        <v>252187.5</v>
      </c>
      <c r="E132" s="77"/>
      <c r="F132" s="77">
        <f>F134+F135</f>
        <v>0</v>
      </c>
      <c r="G132" s="106">
        <v>81696.8</v>
      </c>
      <c r="H132" s="77"/>
      <c r="I132" s="33">
        <f>D132-июнь!D132</f>
        <v>94054.79999999999</v>
      </c>
    </row>
    <row r="133" spans="1:9" ht="12" customHeight="1">
      <c r="A133" s="1" t="s">
        <v>6</v>
      </c>
      <c r="B133" s="78"/>
      <c r="C133" s="27"/>
      <c r="D133" s="27"/>
      <c r="E133" s="27"/>
      <c r="F133" s="27"/>
      <c r="G133" s="27"/>
      <c r="H133" s="35"/>
      <c r="I133" s="33">
        <f>D133-июнь!D133</f>
        <v>0</v>
      </c>
    </row>
    <row r="134" spans="1:9" ht="12.75">
      <c r="A134" s="5" t="s">
        <v>59</v>
      </c>
      <c r="B134" s="78">
        <v>53815.7</v>
      </c>
      <c r="C134" s="27"/>
      <c r="D134" s="27">
        <v>169654.4</v>
      </c>
      <c r="E134" s="27"/>
      <c r="F134" s="27"/>
      <c r="G134" s="27">
        <v>41514.4</v>
      </c>
      <c r="H134" s="35"/>
      <c r="I134" s="33">
        <f>D134-июнь!D134</f>
        <v>123966.99999999999</v>
      </c>
    </row>
    <row r="135" spans="1:9" ht="12.75">
      <c r="A135" s="1" t="s">
        <v>60</v>
      </c>
      <c r="B135" s="78">
        <f>99223.6-B134</f>
        <v>45407.90000000001</v>
      </c>
      <c r="C135" s="27"/>
      <c r="D135" s="27">
        <f>252187.5-169654.4</f>
        <v>82533.1</v>
      </c>
      <c r="E135" s="27"/>
      <c r="F135" s="27"/>
      <c r="G135" s="27">
        <v>40182.4</v>
      </c>
      <c r="H135" s="35"/>
      <c r="I135" s="33">
        <f>D135-июнь!D135</f>
        <v>-29912.199999999997</v>
      </c>
    </row>
    <row r="136" spans="1:9" ht="12.75">
      <c r="A136" s="3" t="s">
        <v>99</v>
      </c>
      <c r="B136" s="26">
        <f>B137-B138</f>
        <v>22950</v>
      </c>
      <c r="C136" s="26">
        <f>C137-C138</f>
        <v>-35000</v>
      </c>
      <c r="D136" s="26">
        <f>D137-D138</f>
        <v>-35000</v>
      </c>
      <c r="E136" s="26"/>
      <c r="F136" s="26">
        <f>F137-F138</f>
        <v>0</v>
      </c>
      <c r="G136" s="26">
        <v>-12050</v>
      </c>
      <c r="H136" s="26"/>
      <c r="I136" s="33">
        <f>D136-июнь!D136</f>
        <v>0</v>
      </c>
    </row>
    <row r="137" spans="1:9" ht="12.75">
      <c r="A137" s="2" t="s">
        <v>100</v>
      </c>
      <c r="B137" s="27">
        <v>35000</v>
      </c>
      <c r="C137" s="27">
        <v>0</v>
      </c>
      <c r="D137" s="27">
        <v>0</v>
      </c>
      <c r="E137" s="36"/>
      <c r="F137" s="36"/>
      <c r="G137" s="36">
        <v>0</v>
      </c>
      <c r="H137" s="37"/>
      <c r="I137" s="33">
        <f>D137-июнь!D137</f>
        <v>0</v>
      </c>
    </row>
    <row r="138" spans="1:9" ht="12.75">
      <c r="A138" s="2" t="s">
        <v>101</v>
      </c>
      <c r="B138" s="27">
        <v>12050</v>
      </c>
      <c r="C138" s="27">
        <v>35000</v>
      </c>
      <c r="D138" s="27">
        <v>35000</v>
      </c>
      <c r="E138" s="36"/>
      <c r="F138" s="36"/>
      <c r="G138" s="27">
        <v>12050</v>
      </c>
      <c r="H138" s="37"/>
      <c r="I138" s="33">
        <f>D138-июнь!D138</f>
        <v>0</v>
      </c>
    </row>
    <row r="139" spans="1:9" ht="12.75">
      <c r="A139" s="15"/>
      <c r="B139" s="24"/>
      <c r="C139" s="24"/>
      <c r="D139" s="24"/>
      <c r="E139" s="24"/>
      <c r="F139" s="24"/>
      <c r="G139" s="84"/>
      <c r="H139" s="24"/>
      <c r="I139" s="24"/>
    </row>
    <row r="141" ht="12" customHeight="1">
      <c r="A141" s="21" t="s">
        <v>79</v>
      </c>
    </row>
    <row r="142" ht="12.75" customHeight="1" hidden="1"/>
    <row r="144" spans="1:9" ht="25.5">
      <c r="A144" s="15" t="s">
        <v>103</v>
      </c>
      <c r="B144" s="24"/>
      <c r="C144" s="24"/>
      <c r="D144" s="24" t="s">
        <v>137</v>
      </c>
      <c r="E144" s="24"/>
      <c r="F144" s="24"/>
      <c r="G144" s="84"/>
      <c r="H144" s="24"/>
      <c r="I144" s="24"/>
    </row>
  </sheetData>
  <sheetProtection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4"/>
  <sheetViews>
    <sheetView zoomScaleSheetLayoutView="100" zoomScalePageLayoutView="0" workbookViewId="0" topLeftCell="A1">
      <pane xSplit="1" ySplit="6" topLeftCell="B4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7" sqref="I7:I74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85" customWidth="1"/>
    <col min="8" max="8" width="11.875" style="22" customWidth="1"/>
    <col min="9" max="9" width="10.00390625" style="22" customWidth="1"/>
    <col min="10" max="10" width="9.125" style="21" customWidth="1"/>
    <col min="11" max="13" width="10.00390625" style="21" bestFit="1" customWidth="1"/>
    <col min="14" max="16384" width="9.125" style="21" customWidth="1"/>
  </cols>
  <sheetData>
    <row r="1" spans="1:9" ht="12.75">
      <c r="A1" s="117" t="s">
        <v>102</v>
      </c>
      <c r="B1" s="117"/>
      <c r="C1" s="117"/>
      <c r="D1" s="117"/>
      <c r="E1" s="117"/>
      <c r="F1" s="117"/>
      <c r="G1" s="117"/>
      <c r="H1" s="117"/>
      <c r="I1" s="86"/>
    </row>
    <row r="2" spans="1:9" ht="12.75">
      <c r="A2" s="118" t="s">
        <v>184</v>
      </c>
      <c r="B2" s="118"/>
      <c r="C2" s="118"/>
      <c r="D2" s="118"/>
      <c r="E2" s="118"/>
      <c r="F2" s="118"/>
      <c r="G2" s="118"/>
      <c r="H2" s="118"/>
      <c r="I2" s="87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1"/>
    </row>
    <row r="4" spans="1:9" ht="45" customHeight="1">
      <c r="A4" s="4" t="s">
        <v>1</v>
      </c>
      <c r="B4" s="17" t="s">
        <v>2</v>
      </c>
      <c r="C4" s="17" t="s">
        <v>185</v>
      </c>
      <c r="D4" s="17" t="s">
        <v>68</v>
      </c>
      <c r="E4" s="17" t="s">
        <v>66</v>
      </c>
      <c r="F4" s="17" t="s">
        <v>69</v>
      </c>
      <c r="G4" s="101" t="s">
        <v>156</v>
      </c>
      <c r="H4" s="17" t="s">
        <v>65</v>
      </c>
      <c r="I4" s="17" t="s">
        <v>71</v>
      </c>
    </row>
    <row r="5" spans="1:9" ht="12.75">
      <c r="A5" s="88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ht="12.75">
      <c r="A6" s="119" t="s">
        <v>3</v>
      </c>
      <c r="B6" s="119"/>
      <c r="C6" s="119"/>
      <c r="D6" s="119"/>
      <c r="E6" s="119"/>
      <c r="F6" s="119"/>
      <c r="G6" s="119"/>
      <c r="H6" s="119"/>
      <c r="I6" s="120"/>
    </row>
    <row r="7" spans="1:9" ht="12.75">
      <c r="A7" s="46" t="s">
        <v>104</v>
      </c>
      <c r="B7" s="33">
        <f>B8+B17+B22+B27+B30+B38+B47+B48+B49+B53+B64</f>
        <v>743069.1900000001</v>
      </c>
      <c r="C7" s="33">
        <f>C8+C17+C22+C27+C30+C38+C47+C48+C49+C53+C64</f>
        <v>408828.17</v>
      </c>
      <c r="D7" s="33">
        <f>D8+D17+D22+D27+D30+D38+D47+D48+D49+D53+D64+D37</f>
        <v>459485.44</v>
      </c>
      <c r="E7" s="25">
        <f>D7/B7*100</f>
        <v>61.83615821832149</v>
      </c>
      <c r="F7" s="25">
        <v>27699.089999999997</v>
      </c>
      <c r="G7" s="33">
        <v>448648.5</v>
      </c>
      <c r="H7" s="25">
        <f>C7/G7*100</f>
        <v>91.12438133639141</v>
      </c>
      <c r="I7" s="33">
        <f>D7-июль!D7</f>
        <v>54416.68000000005</v>
      </c>
    </row>
    <row r="8" spans="1:9" ht="12.75">
      <c r="A8" s="47" t="s">
        <v>4</v>
      </c>
      <c r="B8" s="25">
        <f>B9+B10</f>
        <v>373116.60000000003</v>
      </c>
      <c r="C8" s="25">
        <f>C9+C10</f>
        <v>202352</v>
      </c>
      <c r="D8" s="25">
        <f>D9+D10</f>
        <v>236123.03</v>
      </c>
      <c r="E8" s="25">
        <f aca="true" t="shared" si="0" ref="E8:E73">D8/B8*100</f>
        <v>63.283978788400184</v>
      </c>
      <c r="F8" s="25">
        <v>10645.39</v>
      </c>
      <c r="G8" s="25">
        <v>240832.6</v>
      </c>
      <c r="H8" s="25">
        <f aca="true" t="shared" si="1" ref="H8:H73">C8/G8*100</f>
        <v>84.02184754057383</v>
      </c>
      <c r="I8" s="33">
        <f>D8-июль!D8</f>
        <v>30925.930000000022</v>
      </c>
    </row>
    <row r="9" spans="1:9" ht="25.5">
      <c r="A9" s="54" t="s">
        <v>5</v>
      </c>
      <c r="B9" s="27">
        <v>8631</v>
      </c>
      <c r="C9" s="27">
        <v>6631</v>
      </c>
      <c r="D9" s="27">
        <v>10643.48</v>
      </c>
      <c r="E9" s="27">
        <f t="shared" si="0"/>
        <v>123.31688101031166</v>
      </c>
      <c r="F9" s="25">
        <v>200.86</v>
      </c>
      <c r="G9" s="26">
        <v>4087.5</v>
      </c>
      <c r="H9" s="25">
        <f t="shared" si="1"/>
        <v>162.2262996941896</v>
      </c>
      <c r="I9" s="33">
        <f>D9-июль!D9</f>
        <v>1062.58</v>
      </c>
    </row>
    <row r="10" spans="1:9" ht="12.75" customHeight="1">
      <c r="A10" s="54" t="s">
        <v>70</v>
      </c>
      <c r="B10" s="33">
        <f>SUM(B11:B16)</f>
        <v>364485.60000000003</v>
      </c>
      <c r="C10" s="33">
        <f>SUM(C11:C16)</f>
        <v>195721</v>
      </c>
      <c r="D10" s="33">
        <f>SUM(D11:D16)</f>
        <v>225479.55</v>
      </c>
      <c r="E10" s="25">
        <f t="shared" si="0"/>
        <v>61.862402794513685</v>
      </c>
      <c r="F10" s="25">
        <v>10444.529999999999</v>
      </c>
      <c r="G10" s="42">
        <v>236745.2</v>
      </c>
      <c r="H10" s="25">
        <f t="shared" si="1"/>
        <v>82.671581092246</v>
      </c>
      <c r="I10" s="33">
        <f>D10-июль!D10</f>
        <v>29863.350000000006</v>
      </c>
    </row>
    <row r="11" spans="1:9" ht="51">
      <c r="A11" s="51" t="s">
        <v>74</v>
      </c>
      <c r="B11" s="27">
        <v>344651.2</v>
      </c>
      <c r="C11" s="27">
        <v>179500</v>
      </c>
      <c r="D11" s="27">
        <v>204765.57</v>
      </c>
      <c r="E11" s="27">
        <f t="shared" si="0"/>
        <v>59.412405933883306</v>
      </c>
      <c r="F11" s="27">
        <v>10058</v>
      </c>
      <c r="G11" s="27">
        <v>178439</v>
      </c>
      <c r="H11" s="25">
        <f t="shared" si="1"/>
        <v>100.59460095606903</v>
      </c>
      <c r="I11" s="33">
        <f>D11-июль!D11</f>
        <v>28325.27000000002</v>
      </c>
    </row>
    <row r="12" spans="1:9" ht="51" customHeight="1">
      <c r="A12" s="51" t="s">
        <v>75</v>
      </c>
      <c r="B12" s="27">
        <v>1745</v>
      </c>
      <c r="C12" s="27">
        <v>1381</v>
      </c>
      <c r="D12" s="27">
        <v>2908.19</v>
      </c>
      <c r="E12" s="27">
        <f t="shared" si="0"/>
        <v>166.65845272206303</v>
      </c>
      <c r="F12" s="27">
        <v>81.56</v>
      </c>
      <c r="G12" s="27">
        <v>573.3</v>
      </c>
      <c r="H12" s="25">
        <f t="shared" si="1"/>
        <v>240.8860980289552</v>
      </c>
      <c r="I12" s="33">
        <f>D12-июль!D12</f>
        <v>140.38999999999987</v>
      </c>
    </row>
    <row r="13" spans="1:9" ht="25.5">
      <c r="A13" s="51" t="s">
        <v>76</v>
      </c>
      <c r="B13" s="27">
        <v>5600.4</v>
      </c>
      <c r="C13" s="27">
        <v>4630</v>
      </c>
      <c r="D13" s="27">
        <v>4513</v>
      </c>
      <c r="E13" s="27">
        <f t="shared" si="0"/>
        <v>80.58352974787516</v>
      </c>
      <c r="F13" s="27">
        <v>117.15</v>
      </c>
      <c r="G13" s="27">
        <v>4177.2</v>
      </c>
      <c r="H13" s="25">
        <f t="shared" si="1"/>
        <v>110.83979699320119</v>
      </c>
      <c r="I13" s="33">
        <f>D13-июль!D13</f>
        <v>450.6999999999998</v>
      </c>
    </row>
    <row r="14" spans="1:9" ht="63.75">
      <c r="A14" s="51" t="s">
        <v>78</v>
      </c>
      <c r="B14" s="27">
        <v>3850</v>
      </c>
      <c r="C14" s="27">
        <v>2610</v>
      </c>
      <c r="D14" s="27">
        <v>2505.96</v>
      </c>
      <c r="E14" s="27">
        <f t="shared" si="0"/>
        <v>65.08987012987014</v>
      </c>
      <c r="F14" s="27">
        <v>187.82</v>
      </c>
      <c r="G14" s="27">
        <v>2572.5</v>
      </c>
      <c r="H14" s="25">
        <f t="shared" si="1"/>
        <v>101.45772594752187</v>
      </c>
      <c r="I14" s="33">
        <f>D14-июль!D14</f>
        <v>277.3600000000001</v>
      </c>
    </row>
    <row r="15" spans="1:9" ht="37.5" customHeight="1">
      <c r="A15" s="51" t="s">
        <v>145</v>
      </c>
      <c r="B15" s="27">
        <v>8639</v>
      </c>
      <c r="C15" s="27">
        <v>7600</v>
      </c>
      <c r="D15" s="27">
        <v>8186.46</v>
      </c>
      <c r="E15" s="27">
        <f t="shared" si="0"/>
        <v>94.7616622294247</v>
      </c>
      <c r="F15" s="27"/>
      <c r="G15" s="34">
        <v>50983.2</v>
      </c>
      <c r="H15" s="25">
        <f t="shared" si="1"/>
        <v>14.906871283089332</v>
      </c>
      <c r="I15" s="33">
        <f>D15-июль!D15</f>
        <v>529.2600000000002</v>
      </c>
    </row>
    <row r="16" spans="1:9" ht="53.25" customHeight="1">
      <c r="A16" s="51" t="s">
        <v>164</v>
      </c>
      <c r="B16" s="27">
        <v>0</v>
      </c>
      <c r="C16" s="27">
        <v>0</v>
      </c>
      <c r="D16" s="27">
        <v>2600.37</v>
      </c>
      <c r="E16" s="27">
        <v>0</v>
      </c>
      <c r="F16" s="27"/>
      <c r="G16" s="33">
        <v>0</v>
      </c>
      <c r="H16" s="25">
        <v>0</v>
      </c>
      <c r="I16" s="33">
        <f>D16-июль!D16</f>
        <v>140.3699999999999</v>
      </c>
    </row>
    <row r="17" spans="1:9" ht="39.75" customHeight="1">
      <c r="A17" s="53" t="s">
        <v>82</v>
      </c>
      <c r="B17" s="26">
        <f>SUM(B18:B21)</f>
        <v>59089.46000000001</v>
      </c>
      <c r="C17" s="26">
        <f>SUM(C18:C21)</f>
        <v>41735</v>
      </c>
      <c r="D17" s="26">
        <f>SUM(D18:D21)</f>
        <v>43968.439999999995</v>
      </c>
      <c r="E17" s="25">
        <f t="shared" si="0"/>
        <v>74.4099539917948</v>
      </c>
      <c r="F17" s="25">
        <v>1853.18</v>
      </c>
      <c r="G17" s="26">
        <v>41556.3</v>
      </c>
      <c r="H17" s="25">
        <f t="shared" si="1"/>
        <v>100.43001903441835</v>
      </c>
      <c r="I17" s="33">
        <f>D17-июль!D17</f>
        <v>6012.139999999992</v>
      </c>
    </row>
    <row r="18" spans="1:9" ht="37.5" customHeight="1">
      <c r="A18" s="37" t="s">
        <v>83</v>
      </c>
      <c r="B18" s="27">
        <v>27987.73</v>
      </c>
      <c r="C18" s="27">
        <v>19245</v>
      </c>
      <c r="D18" s="27">
        <v>22562.73</v>
      </c>
      <c r="E18" s="27">
        <f t="shared" si="0"/>
        <v>80.61650587596779</v>
      </c>
      <c r="F18" s="27">
        <v>844.23</v>
      </c>
      <c r="G18" s="34">
        <v>20394.1</v>
      </c>
      <c r="H18" s="25">
        <f t="shared" si="1"/>
        <v>94.365527284852</v>
      </c>
      <c r="I18" s="33">
        <f>D18-июль!D18</f>
        <v>3056.2299999999996</v>
      </c>
    </row>
    <row r="19" spans="1:9" ht="56.25" customHeight="1">
      <c r="A19" s="37" t="s">
        <v>84</v>
      </c>
      <c r="B19" s="27">
        <v>194.4</v>
      </c>
      <c r="C19" s="27">
        <v>120</v>
      </c>
      <c r="D19" s="27">
        <v>120.12</v>
      </c>
      <c r="E19" s="27">
        <f t="shared" si="0"/>
        <v>61.79012345679013</v>
      </c>
      <c r="F19" s="27">
        <v>5.74</v>
      </c>
      <c r="G19" s="34">
        <v>117.9</v>
      </c>
      <c r="H19" s="25">
        <f t="shared" si="1"/>
        <v>101.78117048346056</v>
      </c>
      <c r="I19" s="33">
        <f>D19-июль!D19</f>
        <v>15.420000000000002</v>
      </c>
    </row>
    <row r="20" spans="1:9" ht="55.5" customHeight="1">
      <c r="A20" s="37" t="s">
        <v>85</v>
      </c>
      <c r="B20" s="27">
        <v>34598.53</v>
      </c>
      <c r="C20" s="27">
        <v>24750</v>
      </c>
      <c r="D20" s="27">
        <v>23929.3</v>
      </c>
      <c r="E20" s="27">
        <f t="shared" si="0"/>
        <v>69.16276500764627</v>
      </c>
      <c r="F20" s="27">
        <v>1158.41</v>
      </c>
      <c r="G20" s="34">
        <v>23418.5</v>
      </c>
      <c r="H20" s="25">
        <f t="shared" si="1"/>
        <v>105.68567585455943</v>
      </c>
      <c r="I20" s="33">
        <f>D20-июль!D20</f>
        <v>3233.5999999999985</v>
      </c>
    </row>
    <row r="21" spans="1:9" ht="15.75" customHeight="1">
      <c r="A21" s="37" t="s">
        <v>86</v>
      </c>
      <c r="B21" s="27">
        <v>-3691.2</v>
      </c>
      <c r="C21" s="27">
        <v>-2380</v>
      </c>
      <c r="D21" s="27">
        <v>-2643.71</v>
      </c>
      <c r="E21" s="27">
        <f t="shared" si="0"/>
        <v>71.62196575639359</v>
      </c>
      <c r="F21" s="27">
        <v>-155.2</v>
      </c>
      <c r="G21" s="34">
        <v>-2374.2</v>
      </c>
      <c r="H21" s="25">
        <f t="shared" si="1"/>
        <v>100.24429281442171</v>
      </c>
      <c r="I21" s="33">
        <f>D21-июль!D21</f>
        <v>-293.1100000000001</v>
      </c>
    </row>
    <row r="22" spans="1:9" ht="12.75">
      <c r="A22" s="54" t="s">
        <v>7</v>
      </c>
      <c r="B22" s="26">
        <f>SUM(B23:B26)</f>
        <v>148961.30000000002</v>
      </c>
      <c r="C22" s="26">
        <f>SUM(C23:C26)</f>
        <v>105815</v>
      </c>
      <c r="D22" s="26">
        <f>SUM(D23:D26)</f>
        <v>107171.29000000001</v>
      </c>
      <c r="E22" s="25">
        <f t="shared" si="0"/>
        <v>71.9457268431465</v>
      </c>
      <c r="F22" s="25">
        <v>7362.96</v>
      </c>
      <c r="G22" s="26">
        <v>92274.3</v>
      </c>
      <c r="H22" s="25">
        <f t="shared" si="1"/>
        <v>114.67440013091401</v>
      </c>
      <c r="I22" s="33">
        <f>D22-июль!D22</f>
        <v>7635.590000000011</v>
      </c>
    </row>
    <row r="23" spans="1:9" ht="28.5" customHeight="1">
      <c r="A23" s="51" t="s">
        <v>146</v>
      </c>
      <c r="B23" s="27">
        <v>116885.1</v>
      </c>
      <c r="C23" s="27">
        <v>86400</v>
      </c>
      <c r="D23" s="27">
        <v>91346.02</v>
      </c>
      <c r="E23" s="27">
        <f t="shared" si="0"/>
        <v>78.15026893932588</v>
      </c>
      <c r="F23" s="27"/>
      <c r="G23" s="27">
        <v>76105.6</v>
      </c>
      <c r="H23" s="25">
        <f t="shared" si="1"/>
        <v>113.52646848589328</v>
      </c>
      <c r="I23" s="33">
        <f>D23-июль!D23</f>
        <v>7442.520000000004</v>
      </c>
    </row>
    <row r="24" spans="1:9" ht="19.5" customHeight="1">
      <c r="A24" s="51" t="s">
        <v>89</v>
      </c>
      <c r="B24" s="27">
        <v>0</v>
      </c>
      <c r="C24" s="27">
        <v>0</v>
      </c>
      <c r="D24" s="27">
        <v>-626.77</v>
      </c>
      <c r="E24" s="27" t="s">
        <v>148</v>
      </c>
      <c r="F24" s="27">
        <v>7198.75</v>
      </c>
      <c r="G24" s="27">
        <v>86.2</v>
      </c>
      <c r="H24" s="25">
        <f t="shared" si="1"/>
        <v>0</v>
      </c>
      <c r="I24" s="33">
        <f>D24-июль!D24</f>
        <v>10.830000000000041</v>
      </c>
    </row>
    <row r="25" spans="1:9" ht="15" customHeight="1">
      <c r="A25" s="51" t="s">
        <v>87</v>
      </c>
      <c r="B25" s="27">
        <v>715</v>
      </c>
      <c r="C25" s="27">
        <v>715</v>
      </c>
      <c r="D25" s="27">
        <v>440.63</v>
      </c>
      <c r="E25" s="27">
        <f t="shared" si="0"/>
        <v>61.62657342657343</v>
      </c>
      <c r="F25" s="27">
        <v>113.58</v>
      </c>
      <c r="G25" s="34">
        <v>296.5</v>
      </c>
      <c r="H25" s="25">
        <f t="shared" si="1"/>
        <v>241.14671163575042</v>
      </c>
      <c r="I25" s="33">
        <f>D25-июль!D25</f>
        <v>0.6299999999999955</v>
      </c>
    </row>
    <row r="26" spans="1:9" ht="27" customHeight="1">
      <c r="A26" s="51" t="s">
        <v>88</v>
      </c>
      <c r="B26" s="27">
        <v>31361.2</v>
      </c>
      <c r="C26" s="27">
        <v>18700</v>
      </c>
      <c r="D26" s="27">
        <v>16011.41</v>
      </c>
      <c r="E26" s="27">
        <f t="shared" si="0"/>
        <v>51.054838462813926</v>
      </c>
      <c r="F26" s="27">
        <v>50.63</v>
      </c>
      <c r="G26" s="27">
        <v>15786</v>
      </c>
      <c r="H26" s="25">
        <f t="shared" si="1"/>
        <v>118.45939440010136</v>
      </c>
      <c r="I26" s="33">
        <f>D26-июль!D26</f>
        <v>181.61000000000058</v>
      </c>
    </row>
    <row r="27" spans="1:9" ht="12.75">
      <c r="A27" s="54" t="s">
        <v>8</v>
      </c>
      <c r="B27" s="26">
        <f>SUM(B28:B29)</f>
        <v>42454.6</v>
      </c>
      <c r="C27" s="26">
        <f>SUM(C28:C29)</f>
        <v>11600</v>
      </c>
      <c r="D27" s="26">
        <f>SUM(D28:D29)</f>
        <v>11307.06</v>
      </c>
      <c r="E27" s="25">
        <f t="shared" si="0"/>
        <v>26.633297687411968</v>
      </c>
      <c r="F27" s="25">
        <v>2465.82</v>
      </c>
      <c r="G27" s="26">
        <v>11880.3</v>
      </c>
      <c r="H27" s="25">
        <f t="shared" si="1"/>
        <v>97.64063197057314</v>
      </c>
      <c r="I27" s="33">
        <f>D27-июль!D27</f>
        <v>1160.2600000000002</v>
      </c>
    </row>
    <row r="28" spans="1:9" ht="12.75">
      <c r="A28" s="51" t="s">
        <v>106</v>
      </c>
      <c r="B28" s="27">
        <v>24668.5</v>
      </c>
      <c r="C28" s="27">
        <v>3950</v>
      </c>
      <c r="D28" s="27">
        <v>3298.58</v>
      </c>
      <c r="E28" s="27">
        <f t="shared" si="0"/>
        <v>13.371627784421428</v>
      </c>
      <c r="F28" s="27">
        <v>536.1</v>
      </c>
      <c r="G28" s="34">
        <v>4195.4</v>
      </c>
      <c r="H28" s="25">
        <f t="shared" si="1"/>
        <v>94.15073652095153</v>
      </c>
      <c r="I28" s="33">
        <f>D28-июль!D28</f>
        <v>539.2799999999997</v>
      </c>
    </row>
    <row r="29" spans="1:9" ht="12.75">
      <c r="A29" s="51" t="s">
        <v>107</v>
      </c>
      <c r="B29" s="27">
        <v>17786.1</v>
      </c>
      <c r="C29" s="27">
        <v>7650</v>
      </c>
      <c r="D29" s="27">
        <v>8008.48</v>
      </c>
      <c r="E29" s="27">
        <f t="shared" si="0"/>
        <v>45.02662191261716</v>
      </c>
      <c r="F29" s="27">
        <v>1929.72</v>
      </c>
      <c r="G29" s="27">
        <v>7684.9</v>
      </c>
      <c r="H29" s="25">
        <f t="shared" si="1"/>
        <v>99.54586266574712</v>
      </c>
      <c r="I29" s="33">
        <f>D29-июль!D29</f>
        <v>620.9799999999996</v>
      </c>
    </row>
    <row r="30" spans="1:9" ht="12.75">
      <c r="A30" s="47" t="s">
        <v>9</v>
      </c>
      <c r="B30" s="26">
        <f>SUM(B31:B33)</f>
        <v>15600</v>
      </c>
      <c r="C30" s="26">
        <f>SUM(C31:C33)</f>
        <v>10530</v>
      </c>
      <c r="D30" s="26">
        <f>SUM(D31:D33)</f>
        <v>12349.43</v>
      </c>
      <c r="E30" s="26">
        <f t="shared" si="0"/>
        <v>79.16301282051282</v>
      </c>
      <c r="F30" s="26">
        <v>793.07</v>
      </c>
      <c r="G30" s="26">
        <v>11187.8</v>
      </c>
      <c r="H30" s="25">
        <f t="shared" si="1"/>
        <v>94.12038112944458</v>
      </c>
      <c r="I30" s="33">
        <f>D30-июль!D30</f>
        <v>1960.4300000000003</v>
      </c>
    </row>
    <row r="31" spans="1:9" ht="25.5">
      <c r="A31" s="51" t="s">
        <v>10</v>
      </c>
      <c r="B31" s="27">
        <v>15550</v>
      </c>
      <c r="C31" s="27">
        <v>10500</v>
      </c>
      <c r="D31" s="27">
        <v>12324.43</v>
      </c>
      <c r="E31" s="27">
        <f t="shared" si="0"/>
        <v>79.2567845659164</v>
      </c>
      <c r="F31" s="27">
        <v>793.07</v>
      </c>
      <c r="G31" s="27">
        <v>11089.8</v>
      </c>
      <c r="H31" s="25">
        <f t="shared" si="1"/>
        <v>94.68159930747174</v>
      </c>
      <c r="I31" s="33">
        <f>D31-июль!D31</f>
        <v>1955.4300000000003</v>
      </c>
    </row>
    <row r="32" spans="1:9" ht="25.5">
      <c r="A32" s="51" t="s">
        <v>91</v>
      </c>
      <c r="B32" s="27">
        <v>0</v>
      </c>
      <c r="C32" s="27">
        <v>0</v>
      </c>
      <c r="D32" s="27">
        <v>0</v>
      </c>
      <c r="E32" s="27" t="s">
        <v>148</v>
      </c>
      <c r="F32" s="27">
        <v>0</v>
      </c>
      <c r="G32" s="107">
        <v>48</v>
      </c>
      <c r="H32" s="25">
        <f t="shared" si="1"/>
        <v>0</v>
      </c>
      <c r="I32" s="33">
        <f>D32-июль!D32</f>
        <v>0</v>
      </c>
    </row>
    <row r="33" spans="1:9" ht="25.5">
      <c r="A33" s="51" t="s">
        <v>90</v>
      </c>
      <c r="B33" s="27">
        <v>50</v>
      </c>
      <c r="C33" s="27">
        <v>30</v>
      </c>
      <c r="D33" s="27">
        <v>25</v>
      </c>
      <c r="E33" s="27">
        <f t="shared" si="0"/>
        <v>50</v>
      </c>
      <c r="F33" s="27">
        <v>0</v>
      </c>
      <c r="G33" s="107">
        <v>50</v>
      </c>
      <c r="H33" s="25">
        <f t="shared" si="1"/>
        <v>60</v>
      </c>
      <c r="I33" s="33">
        <f>D33-июль!D33</f>
        <v>5</v>
      </c>
    </row>
    <row r="34" spans="1:9" ht="25.5" hidden="1">
      <c r="A34" s="54" t="s">
        <v>11</v>
      </c>
      <c r="B34" s="27">
        <v>0</v>
      </c>
      <c r="C34" s="27">
        <v>0</v>
      </c>
      <c r="D34" s="27">
        <v>0.02</v>
      </c>
      <c r="E34" s="25" t="e">
        <f t="shared" si="0"/>
        <v>#DIV/0!</v>
      </c>
      <c r="F34" s="25">
        <v>0</v>
      </c>
      <c r="G34" s="27">
        <v>0.02</v>
      </c>
      <c r="H34" s="25">
        <f t="shared" si="1"/>
        <v>0</v>
      </c>
      <c r="I34" s="33">
        <f>D34-июль!D34</f>
        <v>0</v>
      </c>
    </row>
    <row r="35" spans="1:9" ht="25.5" hidden="1">
      <c r="A35" s="51" t="s">
        <v>116</v>
      </c>
      <c r="B35" s="33">
        <v>0</v>
      </c>
      <c r="C35" s="33">
        <v>0</v>
      </c>
      <c r="D35" s="33">
        <v>0.02</v>
      </c>
      <c r="E35" s="25" t="e">
        <f t="shared" si="0"/>
        <v>#DIV/0!</v>
      </c>
      <c r="F35" s="25">
        <v>0</v>
      </c>
      <c r="G35" s="33">
        <v>0.02</v>
      </c>
      <c r="H35" s="25">
        <f t="shared" si="1"/>
        <v>0</v>
      </c>
      <c r="I35" s="33">
        <f>D35-июль!D35</f>
        <v>0</v>
      </c>
    </row>
    <row r="36" spans="1:9" ht="25.5" hidden="1">
      <c r="A36" s="51" t="s">
        <v>92</v>
      </c>
      <c r="B36" s="27">
        <v>0</v>
      </c>
      <c r="C36" s="27">
        <v>0</v>
      </c>
      <c r="D36" s="27">
        <v>0</v>
      </c>
      <c r="E36" s="25" t="e">
        <f t="shared" si="0"/>
        <v>#DIV/0!</v>
      </c>
      <c r="F36" s="25">
        <v>0</v>
      </c>
      <c r="G36" s="27">
        <v>0</v>
      </c>
      <c r="H36" s="25" t="e">
        <f t="shared" si="1"/>
        <v>#DIV/0!</v>
      </c>
      <c r="I36" s="33">
        <f>D36-июль!D36</f>
        <v>0</v>
      </c>
    </row>
    <row r="37" spans="1:9" ht="38.25">
      <c r="A37" s="54" t="s">
        <v>150</v>
      </c>
      <c r="B37" s="27">
        <v>0</v>
      </c>
      <c r="C37" s="27">
        <v>0</v>
      </c>
      <c r="D37" s="27">
        <v>-8.11</v>
      </c>
      <c r="E37" s="25">
        <v>0</v>
      </c>
      <c r="F37" s="25"/>
      <c r="G37" s="26">
        <v>0</v>
      </c>
      <c r="H37" s="25">
        <v>0</v>
      </c>
      <c r="I37" s="33">
        <f>D37-июль!D37</f>
        <v>0</v>
      </c>
    </row>
    <row r="38" spans="1:9" ht="39.75" customHeight="1">
      <c r="A38" s="54" t="s">
        <v>12</v>
      </c>
      <c r="B38" s="26">
        <f>SUM(B40:B46)</f>
        <v>57702.52</v>
      </c>
      <c r="C38" s="26">
        <f>SUM(C40:C46)</f>
        <v>38974.04</v>
      </c>
      <c r="D38" s="26">
        <f>SUM(D40:D46)</f>
        <v>35689.799999999996</v>
      </c>
      <c r="E38" s="26">
        <f t="shared" si="0"/>
        <v>61.851371482562634</v>
      </c>
      <c r="F38" s="26">
        <v>3247.05</v>
      </c>
      <c r="G38" s="26">
        <v>33614.3</v>
      </c>
      <c r="H38" s="25">
        <f t="shared" si="1"/>
        <v>115.94482110292346</v>
      </c>
      <c r="I38" s="33">
        <f>D38-июль!D38</f>
        <v>-944.070000000007</v>
      </c>
    </row>
    <row r="39" spans="1:9" ht="81.75" customHeight="1" hidden="1">
      <c r="A39" s="51" t="s">
        <v>114</v>
      </c>
      <c r="B39" s="27"/>
      <c r="C39" s="27"/>
      <c r="D39" s="27"/>
      <c r="E39" s="25" t="e">
        <f t="shared" si="0"/>
        <v>#DIV/0!</v>
      </c>
      <c r="F39" s="25"/>
      <c r="G39" s="27"/>
      <c r="H39" s="25" t="e">
        <f t="shared" si="1"/>
        <v>#DIV/0!</v>
      </c>
      <c r="I39" s="33">
        <f>D39-июль!D39</f>
        <v>0</v>
      </c>
    </row>
    <row r="40" spans="1:9" ht="76.5">
      <c r="A40" s="51" t="s">
        <v>117</v>
      </c>
      <c r="B40" s="27">
        <v>29271.18</v>
      </c>
      <c r="C40" s="27">
        <v>19514.12</v>
      </c>
      <c r="D40" s="27">
        <v>17990.73</v>
      </c>
      <c r="E40" s="27">
        <f t="shared" si="0"/>
        <v>61.46226424763197</v>
      </c>
      <c r="F40" s="27">
        <v>2393.3</v>
      </c>
      <c r="G40" s="34">
        <v>18431.8</v>
      </c>
      <c r="H40" s="25">
        <f t="shared" si="1"/>
        <v>105.87202552111026</v>
      </c>
      <c r="I40" s="33">
        <f>D40-июль!D40</f>
        <v>-3182.970000000001</v>
      </c>
    </row>
    <row r="41" spans="1:9" ht="76.5">
      <c r="A41" s="51" t="s">
        <v>125</v>
      </c>
      <c r="B41" s="27">
        <v>5434.31</v>
      </c>
      <c r="C41" s="27">
        <v>3622.87</v>
      </c>
      <c r="D41" s="27">
        <v>4151.37</v>
      </c>
      <c r="E41" s="27">
        <f t="shared" si="0"/>
        <v>76.39185103536603</v>
      </c>
      <c r="F41" s="27">
        <v>75.44</v>
      </c>
      <c r="G41" s="34">
        <v>2793.8</v>
      </c>
      <c r="H41" s="25">
        <f t="shared" si="1"/>
        <v>129.675352566397</v>
      </c>
      <c r="I41" s="33">
        <f>D41-июль!D41</f>
        <v>502.8699999999999</v>
      </c>
    </row>
    <row r="42" spans="1:9" ht="76.5">
      <c r="A42" s="51" t="s">
        <v>118</v>
      </c>
      <c r="B42" s="27">
        <v>515.73</v>
      </c>
      <c r="C42" s="27">
        <v>339.18</v>
      </c>
      <c r="D42" s="27">
        <v>551.17</v>
      </c>
      <c r="E42" s="27">
        <f t="shared" si="0"/>
        <v>106.87181277024797</v>
      </c>
      <c r="F42" s="27">
        <v>3.43</v>
      </c>
      <c r="G42" s="34">
        <v>319.3</v>
      </c>
      <c r="H42" s="25">
        <f t="shared" si="1"/>
        <v>106.22611963670529</v>
      </c>
      <c r="I42" s="33">
        <f>D42-июль!D42</f>
        <v>126.36999999999995</v>
      </c>
    </row>
    <row r="43" spans="1:9" ht="38.25">
      <c r="A43" s="51" t="s">
        <v>119</v>
      </c>
      <c r="B43" s="27">
        <v>17384.33</v>
      </c>
      <c r="C43" s="27">
        <v>11589.55</v>
      </c>
      <c r="D43" s="27">
        <v>9858.29</v>
      </c>
      <c r="E43" s="27">
        <f t="shared" si="0"/>
        <v>56.70790878912215</v>
      </c>
      <c r="F43" s="27">
        <v>538.73</v>
      </c>
      <c r="G43" s="34">
        <v>9505.5</v>
      </c>
      <c r="H43" s="25">
        <f t="shared" si="1"/>
        <v>121.92467518804901</v>
      </c>
      <c r="I43" s="33">
        <f>D43-июль!D43</f>
        <v>1160.4900000000016</v>
      </c>
    </row>
    <row r="44" spans="1:9" ht="44.25" customHeight="1">
      <c r="A44" s="51" t="s">
        <v>147</v>
      </c>
      <c r="B44" s="27">
        <v>62.2</v>
      </c>
      <c r="C44" s="27">
        <v>41.47</v>
      </c>
      <c r="D44" s="27">
        <v>17.23</v>
      </c>
      <c r="E44" s="27">
        <f t="shared" si="0"/>
        <v>27.700964630225076</v>
      </c>
      <c r="F44" s="27"/>
      <c r="G44" s="34">
        <v>11.1</v>
      </c>
      <c r="H44" s="25" t="s">
        <v>148</v>
      </c>
      <c r="I44" s="33">
        <f>D44-июль!D44</f>
        <v>3.530000000000001</v>
      </c>
    </row>
    <row r="45" spans="1:9" ht="51">
      <c r="A45" s="51" t="s">
        <v>120</v>
      </c>
      <c r="B45" s="27">
        <v>1531</v>
      </c>
      <c r="C45" s="27">
        <v>1531</v>
      </c>
      <c r="D45" s="27">
        <v>1251.37</v>
      </c>
      <c r="E45" s="27">
        <f t="shared" si="0"/>
        <v>81.73546701502286</v>
      </c>
      <c r="F45" s="27">
        <v>0</v>
      </c>
      <c r="G45" s="34">
        <v>477.6</v>
      </c>
      <c r="H45" s="25" t="s">
        <v>148</v>
      </c>
      <c r="I45" s="33">
        <f>D45-июль!D45</f>
        <v>224</v>
      </c>
    </row>
    <row r="46" spans="1:9" ht="76.5">
      <c r="A46" s="51" t="s">
        <v>121</v>
      </c>
      <c r="B46" s="27">
        <v>3503.77</v>
      </c>
      <c r="C46" s="27">
        <v>2335.85</v>
      </c>
      <c r="D46" s="27">
        <v>1869.64</v>
      </c>
      <c r="E46" s="27">
        <f t="shared" si="0"/>
        <v>53.36080850055798</v>
      </c>
      <c r="F46" s="27">
        <v>236.15</v>
      </c>
      <c r="G46" s="27">
        <v>2075.2</v>
      </c>
      <c r="H46" s="25">
        <f t="shared" si="1"/>
        <v>112.56023515805707</v>
      </c>
      <c r="I46" s="33">
        <f>D46-июль!D46</f>
        <v>221.6400000000001</v>
      </c>
    </row>
    <row r="47" spans="1:9" ht="27" customHeight="1">
      <c r="A47" s="54" t="s">
        <v>13</v>
      </c>
      <c r="B47" s="33">
        <v>598.72</v>
      </c>
      <c r="C47" s="33">
        <v>416.18</v>
      </c>
      <c r="D47" s="33">
        <v>3012.81</v>
      </c>
      <c r="E47" s="33">
        <f t="shared" si="0"/>
        <v>503.2085114911812</v>
      </c>
      <c r="F47" s="33">
        <v>43.6</v>
      </c>
      <c r="G47" s="26">
        <v>556.6</v>
      </c>
      <c r="H47" s="33">
        <f t="shared" si="1"/>
        <v>74.77182896155227</v>
      </c>
      <c r="I47" s="33">
        <f>D47-июль!D47</f>
        <v>369.30999999999995</v>
      </c>
    </row>
    <row r="48" spans="1:9" ht="25.5">
      <c r="A48" s="54" t="s">
        <v>96</v>
      </c>
      <c r="B48" s="33">
        <v>1290.36</v>
      </c>
      <c r="C48" s="33">
        <v>884.06</v>
      </c>
      <c r="D48" s="33">
        <v>1888.42</v>
      </c>
      <c r="E48" s="33">
        <f t="shared" si="0"/>
        <v>146.34830589912895</v>
      </c>
      <c r="F48" s="33">
        <v>561.58</v>
      </c>
      <c r="G48" s="26">
        <v>9675.5</v>
      </c>
      <c r="H48" s="33">
        <f t="shared" si="1"/>
        <v>9.137098857940158</v>
      </c>
      <c r="I48" s="33">
        <f>D48-июль!D48</f>
        <v>604.4200000000001</v>
      </c>
    </row>
    <row r="49" spans="1:9" ht="25.5">
      <c r="A49" s="54" t="s">
        <v>14</v>
      </c>
      <c r="B49" s="33">
        <f>SUM(B50:B52)</f>
        <v>46800</v>
      </c>
      <c r="C49" s="33">
        <f>SUM(C50:C52)</f>
        <v>0</v>
      </c>
      <c r="D49" s="33">
        <f>SUM(D50:D52)</f>
        <v>4529.71</v>
      </c>
      <c r="E49" s="25">
        <f t="shared" si="0"/>
        <v>9.678867521367522</v>
      </c>
      <c r="F49" s="25">
        <v>585.5</v>
      </c>
      <c r="G49" s="33">
        <v>2383</v>
      </c>
      <c r="H49" s="25">
        <f t="shared" si="1"/>
        <v>0</v>
      </c>
      <c r="I49" s="33">
        <f>D49-июль!D49</f>
        <v>318.1099999999997</v>
      </c>
    </row>
    <row r="50" spans="1:9" ht="12.75">
      <c r="A50" s="51" t="s">
        <v>94</v>
      </c>
      <c r="B50" s="27">
        <v>0</v>
      </c>
      <c r="C50" s="27">
        <v>0</v>
      </c>
      <c r="D50" s="27">
        <v>0</v>
      </c>
      <c r="E50" s="25">
        <v>0</v>
      </c>
      <c r="F50" s="25">
        <v>0</v>
      </c>
      <c r="G50" s="27">
        <v>0</v>
      </c>
      <c r="H50" s="25" t="s">
        <v>148</v>
      </c>
      <c r="I50" s="33">
        <f>D50-июль!D50</f>
        <v>0</v>
      </c>
    </row>
    <row r="51" spans="1:9" ht="76.5">
      <c r="A51" s="51" t="s">
        <v>95</v>
      </c>
      <c r="B51" s="27">
        <v>45400</v>
      </c>
      <c r="C51" s="27">
        <v>0</v>
      </c>
      <c r="D51" s="27">
        <v>0</v>
      </c>
      <c r="E51" s="25">
        <f t="shared" si="0"/>
        <v>0</v>
      </c>
      <c r="F51" s="25">
        <v>37.14</v>
      </c>
      <c r="G51" s="83">
        <v>0</v>
      </c>
      <c r="H51" s="25" t="s">
        <v>148</v>
      </c>
      <c r="I51" s="33">
        <f>D51-июль!D51</f>
        <v>0</v>
      </c>
    </row>
    <row r="52" spans="1:9" ht="17.25" customHeight="1">
      <c r="A52" s="51" t="s">
        <v>93</v>
      </c>
      <c r="B52" s="27">
        <v>1400</v>
      </c>
      <c r="C52" s="27">
        <v>0</v>
      </c>
      <c r="D52" s="27">
        <v>4529.71</v>
      </c>
      <c r="E52" s="27">
        <f t="shared" si="0"/>
        <v>323.55071428571426</v>
      </c>
      <c r="F52" s="27">
        <v>548.36</v>
      </c>
      <c r="G52" s="27">
        <v>2383</v>
      </c>
      <c r="H52" s="25">
        <f t="shared" si="1"/>
        <v>0</v>
      </c>
      <c r="I52" s="33">
        <f>D52-июль!D52</f>
        <v>318.1099999999997</v>
      </c>
    </row>
    <row r="53" spans="1:9" ht="12.75">
      <c r="A53" s="54" t="s">
        <v>15</v>
      </c>
      <c r="B53" s="33">
        <v>-1455.1</v>
      </c>
      <c r="C53" s="33">
        <v>-2385</v>
      </c>
      <c r="D53" s="33">
        <v>-2265.71</v>
      </c>
      <c r="E53" s="26">
        <f t="shared" si="0"/>
        <v>155.70819874922688</v>
      </c>
      <c r="F53" s="26">
        <v>179.73</v>
      </c>
      <c r="G53" s="26">
        <v>4680.7</v>
      </c>
      <c r="H53" s="25">
        <f t="shared" si="1"/>
        <v>-50.95391714914436</v>
      </c>
      <c r="I53" s="33">
        <f>D53-июль!D53</f>
        <v>248.59000000000015</v>
      </c>
    </row>
    <row r="54" spans="1:9" ht="63.75" hidden="1">
      <c r="A54" s="51" t="s">
        <v>126</v>
      </c>
      <c r="B54" s="33">
        <v>223.07</v>
      </c>
      <c r="C54" s="33">
        <v>20</v>
      </c>
      <c r="D54" s="33"/>
      <c r="E54" s="26">
        <f t="shared" si="0"/>
        <v>0</v>
      </c>
      <c r="F54" s="26"/>
      <c r="G54" s="26"/>
      <c r="H54" s="25" t="e">
        <f t="shared" si="1"/>
        <v>#DIV/0!</v>
      </c>
      <c r="I54" s="33">
        <f>D54-июль!D54</f>
        <v>0</v>
      </c>
    </row>
    <row r="55" spans="1:9" ht="89.25" hidden="1">
      <c r="A55" s="51" t="s">
        <v>127</v>
      </c>
      <c r="B55" s="33">
        <v>223.07</v>
      </c>
      <c r="C55" s="33">
        <v>20</v>
      </c>
      <c r="D55" s="33"/>
      <c r="E55" s="26">
        <f t="shared" si="0"/>
        <v>0</v>
      </c>
      <c r="F55" s="26"/>
      <c r="G55" s="26"/>
      <c r="H55" s="25" t="e">
        <f t="shared" si="1"/>
        <v>#DIV/0!</v>
      </c>
      <c r="I55" s="33">
        <f>D55-июль!D55</f>
        <v>0</v>
      </c>
    </row>
    <row r="56" spans="1:9" ht="63.75" hidden="1">
      <c r="A56" s="51" t="s">
        <v>128</v>
      </c>
      <c r="B56" s="33">
        <v>223.07</v>
      </c>
      <c r="C56" s="33">
        <v>20</v>
      </c>
      <c r="D56" s="33"/>
      <c r="E56" s="26">
        <f t="shared" si="0"/>
        <v>0</v>
      </c>
      <c r="F56" s="26"/>
      <c r="G56" s="26"/>
      <c r="H56" s="25" t="e">
        <f t="shared" si="1"/>
        <v>#DIV/0!</v>
      </c>
      <c r="I56" s="33">
        <f>D56-июль!D56</f>
        <v>0</v>
      </c>
    </row>
    <row r="57" spans="1:9" ht="29.25" customHeight="1" hidden="1">
      <c r="A57" s="51" t="s">
        <v>129</v>
      </c>
      <c r="B57" s="33">
        <v>223.07</v>
      </c>
      <c r="C57" s="33">
        <v>20</v>
      </c>
      <c r="D57" s="33"/>
      <c r="E57" s="26">
        <f t="shared" si="0"/>
        <v>0</v>
      </c>
      <c r="F57" s="26"/>
      <c r="G57" s="26"/>
      <c r="H57" s="25" t="e">
        <f t="shared" si="1"/>
        <v>#DIV/0!</v>
      </c>
      <c r="I57" s="33">
        <f>D57-июль!D57</f>
        <v>0</v>
      </c>
    </row>
    <row r="58" spans="1:9" ht="38.25" customHeight="1" hidden="1">
      <c r="A58" s="51" t="s">
        <v>130</v>
      </c>
      <c r="B58" s="33">
        <v>223.07</v>
      </c>
      <c r="C58" s="33">
        <v>20</v>
      </c>
      <c r="D58" s="33"/>
      <c r="E58" s="26">
        <f t="shared" si="0"/>
        <v>0</v>
      </c>
      <c r="F58" s="26"/>
      <c r="G58" s="26"/>
      <c r="H58" s="25" t="e">
        <f t="shared" si="1"/>
        <v>#DIV/0!</v>
      </c>
      <c r="I58" s="33">
        <f>D58-июль!D58</f>
        <v>0</v>
      </c>
    </row>
    <row r="59" spans="1:9" ht="43.5" customHeight="1" hidden="1">
      <c r="A59" s="51" t="s">
        <v>131</v>
      </c>
      <c r="B59" s="33">
        <v>223.07</v>
      </c>
      <c r="C59" s="33">
        <v>20</v>
      </c>
      <c r="D59" s="33"/>
      <c r="E59" s="26">
        <f t="shared" si="0"/>
        <v>0</v>
      </c>
      <c r="F59" s="26"/>
      <c r="G59" s="26"/>
      <c r="H59" s="25" t="e">
        <f t="shared" si="1"/>
        <v>#DIV/0!</v>
      </c>
      <c r="I59" s="33">
        <f>D59-июль!D59</f>
        <v>0</v>
      </c>
    </row>
    <row r="60" spans="1:9" ht="40.5" customHeight="1" hidden="1">
      <c r="A60" s="51" t="s">
        <v>132</v>
      </c>
      <c r="B60" s="33">
        <v>223.07</v>
      </c>
      <c r="C60" s="33">
        <v>20</v>
      </c>
      <c r="D60" s="33"/>
      <c r="E60" s="26">
        <f t="shared" si="0"/>
        <v>0</v>
      </c>
      <c r="F60" s="26"/>
      <c r="G60" s="26"/>
      <c r="H60" s="25" t="e">
        <f t="shared" si="1"/>
        <v>#DIV/0!</v>
      </c>
      <c r="I60" s="33">
        <f>D60-июль!D60</f>
        <v>0</v>
      </c>
    </row>
    <row r="61" spans="1:9" ht="51" hidden="1">
      <c r="A61" s="51" t="s">
        <v>133</v>
      </c>
      <c r="B61" s="33">
        <v>223.07</v>
      </c>
      <c r="C61" s="33">
        <v>20</v>
      </c>
      <c r="D61" s="33"/>
      <c r="E61" s="26">
        <f t="shared" si="0"/>
        <v>0</v>
      </c>
      <c r="F61" s="26"/>
      <c r="G61" s="33"/>
      <c r="H61" s="25" t="e">
        <f t="shared" si="1"/>
        <v>#DIV/0!</v>
      </c>
      <c r="I61" s="33">
        <f>D61-июль!D61</f>
        <v>0</v>
      </c>
    </row>
    <row r="62" spans="1:9" ht="76.5" hidden="1">
      <c r="A62" s="51" t="s">
        <v>134</v>
      </c>
      <c r="B62" s="33">
        <v>223.07</v>
      </c>
      <c r="C62" s="33">
        <v>20</v>
      </c>
      <c r="D62" s="33"/>
      <c r="E62" s="26">
        <f t="shared" si="0"/>
        <v>0</v>
      </c>
      <c r="F62" s="26"/>
      <c r="G62" s="33"/>
      <c r="H62" s="25" t="e">
        <f t="shared" si="1"/>
        <v>#DIV/0!</v>
      </c>
      <c r="I62" s="33">
        <f>D62-июль!D62</f>
        <v>0</v>
      </c>
    </row>
    <row r="63" spans="1:9" ht="12.75" hidden="1">
      <c r="A63" s="51" t="s">
        <v>135</v>
      </c>
      <c r="B63" s="33">
        <v>223.07</v>
      </c>
      <c r="C63" s="33">
        <v>20</v>
      </c>
      <c r="D63" s="33"/>
      <c r="E63" s="26">
        <f t="shared" si="0"/>
        <v>0</v>
      </c>
      <c r="F63" s="26"/>
      <c r="G63" s="103"/>
      <c r="H63" s="25" t="e">
        <f t="shared" si="1"/>
        <v>#DIV/0!</v>
      </c>
      <c r="I63" s="33">
        <f>D63-июль!D63</f>
        <v>0</v>
      </c>
    </row>
    <row r="64" spans="1:9" ht="12.75">
      <c r="A64" s="47" t="s">
        <v>16</v>
      </c>
      <c r="B64" s="33">
        <v>-1089.27</v>
      </c>
      <c r="C64" s="33">
        <v>-1093.11</v>
      </c>
      <c r="D64" s="33">
        <v>5719.27</v>
      </c>
      <c r="E64" s="26">
        <f t="shared" si="0"/>
        <v>-525.0553122733575</v>
      </c>
      <c r="F64" s="26">
        <v>-38.79</v>
      </c>
      <c r="G64" s="26">
        <v>7.1</v>
      </c>
      <c r="H64" s="25" t="s">
        <v>148</v>
      </c>
      <c r="I64" s="33">
        <f>D64-июль!D64</f>
        <v>6125.97</v>
      </c>
    </row>
    <row r="65" spans="1:9" ht="12.75">
      <c r="A65" s="54" t="s">
        <v>17</v>
      </c>
      <c r="B65" s="26">
        <f>B64+B53+B49+B48+B47+B38+B30+B27+B22+B17+B8</f>
        <v>743069.1900000001</v>
      </c>
      <c r="C65" s="26">
        <f>C64+C53+C49+C48+C47+C38+C30+C27+C22+C17+C8</f>
        <v>408828.17</v>
      </c>
      <c r="D65" s="26">
        <f>D64+D53+D49+D48+D47+D38+D30+D27+D22+D17+D8+D37</f>
        <v>459485.44000000006</v>
      </c>
      <c r="E65" s="26">
        <f t="shared" si="0"/>
        <v>61.8361582183215</v>
      </c>
      <c r="F65" s="26">
        <v>27699.089999999997</v>
      </c>
      <c r="G65" s="26">
        <v>448648.5</v>
      </c>
      <c r="H65" s="25">
        <f t="shared" si="1"/>
        <v>91.12438133639141</v>
      </c>
      <c r="I65" s="33">
        <f>D65-июль!D65</f>
        <v>54416.68000000005</v>
      </c>
    </row>
    <row r="66" spans="1:9" ht="12.75">
      <c r="A66" s="54" t="s">
        <v>18</v>
      </c>
      <c r="B66" s="26">
        <f>B67+B72+B73</f>
        <v>3723997.0300000003</v>
      </c>
      <c r="C66" s="26">
        <f>C67+C72+C73</f>
        <v>2131414.35</v>
      </c>
      <c r="D66" s="26">
        <f>D67+D72+D73</f>
        <v>2129667.2899999996</v>
      </c>
      <c r="E66" s="26">
        <f t="shared" si="0"/>
        <v>57.18767423399367</v>
      </c>
      <c r="F66" s="26">
        <v>43822.57000000001</v>
      </c>
      <c r="G66" s="27">
        <v>1671244.2</v>
      </c>
      <c r="H66" s="25">
        <f t="shared" si="1"/>
        <v>127.53458471239571</v>
      </c>
      <c r="I66" s="33">
        <f>D66-июль!D66</f>
        <v>359458.6899999997</v>
      </c>
    </row>
    <row r="67" spans="1:9" ht="25.5">
      <c r="A67" s="54" t="s">
        <v>19</v>
      </c>
      <c r="B67" s="26">
        <f>SUM(B68:B71)</f>
        <v>3732377.2800000003</v>
      </c>
      <c r="C67" s="26">
        <f>SUM(C68:C71)</f>
        <v>2139794.5900000003</v>
      </c>
      <c r="D67" s="26">
        <f>SUM(D68:D71)</f>
        <v>2139794.4899999998</v>
      </c>
      <c r="E67" s="26">
        <f t="shared" si="0"/>
        <v>57.330605388317004</v>
      </c>
      <c r="F67" s="26">
        <v>46091.770000000004</v>
      </c>
      <c r="G67" s="27">
        <v>1689617.1</v>
      </c>
      <c r="H67" s="25">
        <f t="shared" si="1"/>
        <v>126.64375792598217</v>
      </c>
      <c r="I67" s="33">
        <f>D67-июль!D67</f>
        <v>359663.58999999985</v>
      </c>
    </row>
    <row r="68" spans="1:9" ht="12.75">
      <c r="A68" s="51" t="s">
        <v>108</v>
      </c>
      <c r="B68" s="27">
        <v>578714.4</v>
      </c>
      <c r="C68" s="27">
        <v>487675.85</v>
      </c>
      <c r="D68" s="27">
        <v>487675.75</v>
      </c>
      <c r="E68" s="25">
        <f t="shared" si="0"/>
        <v>84.26881204269326</v>
      </c>
      <c r="F68" s="25">
        <v>15902.8</v>
      </c>
      <c r="G68" s="27">
        <v>364346.4</v>
      </c>
      <c r="H68" s="25">
        <f t="shared" si="1"/>
        <v>133.8495042080833</v>
      </c>
      <c r="I68" s="33">
        <f>D68-июль!D68</f>
        <v>24791.849999999977</v>
      </c>
    </row>
    <row r="69" spans="1:9" ht="12.75" customHeight="1">
      <c r="A69" s="51" t="s">
        <v>109</v>
      </c>
      <c r="B69" s="27">
        <v>1750748.84</v>
      </c>
      <c r="C69" s="27">
        <v>740833.23</v>
      </c>
      <c r="D69" s="27">
        <v>740833.23</v>
      </c>
      <c r="E69" s="25">
        <f t="shared" si="0"/>
        <v>42.31522038306762</v>
      </c>
      <c r="F69" s="25">
        <v>0</v>
      </c>
      <c r="G69" s="27">
        <v>582812.4</v>
      </c>
      <c r="H69" s="25">
        <f t="shared" si="1"/>
        <v>127.11349827148494</v>
      </c>
      <c r="I69" s="33">
        <f>D69-июль!D69</f>
        <v>241675.93</v>
      </c>
    </row>
    <row r="70" spans="1:9" ht="18.75" customHeight="1">
      <c r="A70" s="51" t="s">
        <v>110</v>
      </c>
      <c r="B70" s="27">
        <v>1341815.2</v>
      </c>
      <c r="C70" s="27">
        <v>874695.2</v>
      </c>
      <c r="D70" s="27">
        <v>874695.2</v>
      </c>
      <c r="E70" s="25">
        <f t="shared" si="0"/>
        <v>65.187456514131</v>
      </c>
      <c r="F70" s="25">
        <v>30188.97</v>
      </c>
      <c r="G70" s="34">
        <v>698067.8</v>
      </c>
      <c r="H70" s="25">
        <f t="shared" si="1"/>
        <v>125.30232736705516</v>
      </c>
      <c r="I70" s="33">
        <f>D70-июль!D70</f>
        <v>90369.09999999998</v>
      </c>
    </row>
    <row r="71" spans="1:9" ht="12.75" customHeight="1">
      <c r="A71" s="2" t="s">
        <v>122</v>
      </c>
      <c r="B71" s="27">
        <v>61098.84</v>
      </c>
      <c r="C71" s="27">
        <v>36590.31</v>
      </c>
      <c r="D71" s="27">
        <v>36590.31</v>
      </c>
      <c r="E71" s="25">
        <f t="shared" si="0"/>
        <v>59.887078052545675</v>
      </c>
      <c r="F71" s="25">
        <v>0</v>
      </c>
      <c r="G71" s="83">
        <v>44390.5</v>
      </c>
      <c r="H71" s="25" t="s">
        <v>148</v>
      </c>
      <c r="I71" s="33">
        <f>D71-июль!D71</f>
        <v>2826.709999999999</v>
      </c>
    </row>
    <row r="72" spans="1:9" ht="12.75" customHeight="1">
      <c r="A72" s="54" t="s">
        <v>113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34">
        <v>0</v>
      </c>
      <c r="H72" s="25" t="s">
        <v>148</v>
      </c>
      <c r="I72" s="33">
        <f>D72-июль!D72</f>
        <v>0</v>
      </c>
    </row>
    <row r="73" spans="1:13" ht="25.5">
      <c r="A73" s="54" t="s">
        <v>21</v>
      </c>
      <c r="B73" s="27">
        <v>-8380.25</v>
      </c>
      <c r="C73" s="27">
        <v>-8380.239999999998</v>
      </c>
      <c r="D73" s="27">
        <v>-10127.2</v>
      </c>
      <c r="E73" s="26">
        <f t="shared" si="0"/>
        <v>120.84603681274426</v>
      </c>
      <c r="F73" s="26">
        <v>-2269.2</v>
      </c>
      <c r="G73" s="26">
        <v>-18372.9</v>
      </c>
      <c r="H73" s="25">
        <f t="shared" si="1"/>
        <v>45.611961094873415</v>
      </c>
      <c r="I73" s="33">
        <f>D73-июль!D73</f>
        <v>-204.90000000000146</v>
      </c>
      <c r="K73" s="98"/>
      <c r="L73" s="98"/>
      <c r="M73" s="98"/>
    </row>
    <row r="74" spans="1:9" ht="12.75">
      <c r="A74" s="47" t="s">
        <v>20</v>
      </c>
      <c r="B74" s="26">
        <f>B65+B66</f>
        <v>4467066.220000001</v>
      </c>
      <c r="C74" s="26">
        <f>C65+C66</f>
        <v>2540242.52</v>
      </c>
      <c r="D74" s="26">
        <f>D65+D66</f>
        <v>2589152.7299999995</v>
      </c>
      <c r="E74" s="25">
        <f>D74/B74*100</f>
        <v>57.96092116136122</v>
      </c>
      <c r="F74" s="25">
        <v>71521.66</v>
      </c>
      <c r="G74" s="33">
        <v>2119892.7</v>
      </c>
      <c r="H74" s="25">
        <f>C74/G74*100</f>
        <v>119.82882529856344</v>
      </c>
      <c r="I74" s="33">
        <f>D74-июль!D74</f>
        <v>413875.46999999974</v>
      </c>
    </row>
    <row r="75" spans="1:9" ht="12.75" hidden="1">
      <c r="A75" s="54"/>
      <c r="B75" s="61"/>
      <c r="C75" s="61"/>
      <c r="D75" s="61"/>
      <c r="E75" s="45"/>
      <c r="F75" s="45"/>
      <c r="G75" s="61"/>
      <c r="H75" s="45"/>
      <c r="I75" s="61"/>
    </row>
    <row r="76" spans="1:9" ht="12.75" hidden="1">
      <c r="A76" s="54"/>
      <c r="B76" s="56"/>
      <c r="C76" s="56"/>
      <c r="D76" s="56"/>
      <c r="E76" s="45"/>
      <c r="F76" s="45"/>
      <c r="G76" s="56"/>
      <c r="H76" s="45"/>
      <c r="I76" s="56"/>
    </row>
    <row r="77" spans="1:9" ht="12.75" hidden="1">
      <c r="A77" s="47"/>
      <c r="B77" s="57"/>
      <c r="C77" s="57"/>
      <c r="D77" s="57"/>
      <c r="E77" s="45"/>
      <c r="F77" s="45"/>
      <c r="G77" s="57"/>
      <c r="H77" s="45"/>
      <c r="I77" s="57"/>
    </row>
    <row r="78" spans="1:9" ht="12.75" hidden="1">
      <c r="A78" s="89"/>
      <c r="B78" s="33"/>
      <c r="C78" s="33"/>
      <c r="D78" s="33"/>
      <c r="E78" s="25"/>
      <c r="F78" s="25"/>
      <c r="G78" s="33"/>
      <c r="H78" s="25"/>
      <c r="I78" s="33"/>
    </row>
    <row r="79" spans="1:9" ht="12.75">
      <c r="A79" s="121" t="s">
        <v>22</v>
      </c>
      <c r="B79" s="121"/>
      <c r="C79" s="121"/>
      <c r="D79" s="121"/>
      <c r="E79" s="121"/>
      <c r="F79" s="121"/>
      <c r="G79" s="121"/>
      <c r="H79" s="121"/>
      <c r="I79" s="121"/>
    </row>
    <row r="80" spans="1:9" ht="12.75">
      <c r="A80" s="7" t="s">
        <v>23</v>
      </c>
      <c r="B80" s="33">
        <f>B81+B82+B83+B84+B85+B86+B87+B88</f>
        <v>624502.9</v>
      </c>
      <c r="C80" s="33">
        <f>C81+C82+C83+C84+C85+C86+C87+C88</f>
        <v>231822.44</v>
      </c>
      <c r="D80" s="33">
        <f>D81+D82+D83+D84+D85+D86+D87+D88</f>
        <v>229828.91</v>
      </c>
      <c r="E80" s="25">
        <f>$D:$D/$B:$B*100</f>
        <v>36.80189635628594</v>
      </c>
      <c r="F80" s="25">
        <f>$D:$D/$C:$C*100</f>
        <v>99.1400616782396</v>
      </c>
      <c r="G80" s="33">
        <v>113583.8</v>
      </c>
      <c r="H80" s="25">
        <f>$D:$D/$G:$G*100</f>
        <v>202.34303659500736</v>
      </c>
      <c r="I80" s="33">
        <f>D80-июль!D80</f>
        <v>25226.27000000002</v>
      </c>
    </row>
    <row r="81" spans="1:9" ht="14.25" customHeight="1">
      <c r="A81" s="8" t="s">
        <v>24</v>
      </c>
      <c r="B81" s="27">
        <v>3197.2</v>
      </c>
      <c r="C81" s="27">
        <v>2274.6</v>
      </c>
      <c r="D81" s="27">
        <v>2214.97</v>
      </c>
      <c r="E81" s="28">
        <f>$D:$D/$B:$B*100</f>
        <v>69.27843112723633</v>
      </c>
      <c r="F81" s="28">
        <v>0</v>
      </c>
      <c r="G81" s="104">
        <v>1639.2</v>
      </c>
      <c r="H81" s="28">
        <f aca="true" t="shared" si="2" ref="H81:H129">$D:$D/$G:$G*100</f>
        <v>135.12506100536845</v>
      </c>
      <c r="I81" s="34">
        <f>D81-июль!D81</f>
        <v>358.3699999999999</v>
      </c>
    </row>
    <row r="82" spans="1:9" ht="12.75">
      <c r="A82" s="8" t="s">
        <v>25</v>
      </c>
      <c r="B82" s="27">
        <v>7698.8</v>
      </c>
      <c r="C82" s="27">
        <v>4831.2</v>
      </c>
      <c r="D82" s="27">
        <v>4763.3</v>
      </c>
      <c r="E82" s="28">
        <f>$D:$D/$B:$B*100</f>
        <v>61.87068114511353</v>
      </c>
      <c r="F82" s="28">
        <f>$D:$D/$C:$C*100</f>
        <v>98.59455207815864</v>
      </c>
      <c r="G82" s="104">
        <v>4379.1</v>
      </c>
      <c r="H82" s="28">
        <f t="shared" si="2"/>
        <v>108.77349227010116</v>
      </c>
      <c r="I82" s="34">
        <f>D82-июль!D82</f>
        <v>702.6000000000004</v>
      </c>
    </row>
    <row r="83" spans="1:9" ht="25.5">
      <c r="A83" s="8" t="s">
        <v>26</v>
      </c>
      <c r="B83" s="27">
        <v>70928.9</v>
      </c>
      <c r="C83" s="27">
        <v>46242.8</v>
      </c>
      <c r="D83" s="27">
        <v>45199.8</v>
      </c>
      <c r="E83" s="28">
        <f>$D:$D/$B:$B*100</f>
        <v>63.725505400478525</v>
      </c>
      <c r="F83" s="28">
        <f>$D:$D/$C:$C*100</f>
        <v>97.74451374051745</v>
      </c>
      <c r="G83" s="104">
        <v>36327.5</v>
      </c>
      <c r="H83" s="28">
        <f t="shared" si="2"/>
        <v>124.42309545110454</v>
      </c>
      <c r="I83" s="34">
        <f>D83-июль!D83</f>
        <v>7821</v>
      </c>
    </row>
    <row r="84" spans="1:9" ht="12.75">
      <c r="A84" s="8" t="s">
        <v>72</v>
      </c>
      <c r="B84" s="27">
        <v>4</v>
      </c>
      <c r="C84" s="27">
        <v>3.84</v>
      </c>
      <c r="D84" s="27">
        <v>3.84</v>
      </c>
      <c r="E84" s="28">
        <v>0</v>
      </c>
      <c r="F84" s="28">
        <v>0</v>
      </c>
      <c r="G84" s="104">
        <v>170</v>
      </c>
      <c r="H84" s="28">
        <f t="shared" si="2"/>
        <v>2.2588235294117647</v>
      </c>
      <c r="I84" s="34">
        <f>D84-июль!D84</f>
        <v>0</v>
      </c>
    </row>
    <row r="85" spans="1:9" ht="25.5">
      <c r="A85" s="1" t="s">
        <v>27</v>
      </c>
      <c r="B85" s="27">
        <v>18122.5</v>
      </c>
      <c r="C85" s="27">
        <v>10993.2</v>
      </c>
      <c r="D85" s="27">
        <v>10657.4</v>
      </c>
      <c r="E85" s="28">
        <f>$D:$D/$B:$B*100</f>
        <v>58.80755966340184</v>
      </c>
      <c r="F85" s="28">
        <v>0</v>
      </c>
      <c r="G85" s="104">
        <v>9603.7</v>
      </c>
      <c r="H85" s="28">
        <f t="shared" si="2"/>
        <v>110.97181294709328</v>
      </c>
      <c r="I85" s="34">
        <f>D85-июль!D85</f>
        <v>1307.5</v>
      </c>
    </row>
    <row r="86" spans="1:9" ht="12.75" hidden="1">
      <c r="A86" s="8" t="s">
        <v>28</v>
      </c>
      <c r="B86" s="27">
        <v>0</v>
      </c>
      <c r="C86" s="27">
        <v>0</v>
      </c>
      <c r="D86" s="27">
        <v>0</v>
      </c>
      <c r="E86" s="28">
        <v>0</v>
      </c>
      <c r="F86" s="28">
        <v>0</v>
      </c>
      <c r="G86" s="104">
        <v>8500</v>
      </c>
      <c r="H86" s="28">
        <f t="shared" si="2"/>
        <v>0</v>
      </c>
      <c r="I86" s="34">
        <f>D86-июль!D86</f>
        <v>0</v>
      </c>
    </row>
    <row r="87" spans="1:9" ht="12.75">
      <c r="A87" s="8" t="s">
        <v>29</v>
      </c>
      <c r="B87" s="27">
        <v>2925.2</v>
      </c>
      <c r="C87" s="27">
        <v>0</v>
      </c>
      <c r="D87" s="27">
        <v>0</v>
      </c>
      <c r="E87" s="28">
        <f>$D:$D/$B:$B*100</f>
        <v>0</v>
      </c>
      <c r="F87" s="28">
        <v>0</v>
      </c>
      <c r="G87" s="104">
        <v>0</v>
      </c>
      <c r="H87" s="28">
        <v>0</v>
      </c>
      <c r="I87" s="34">
        <f>D87-июль!D87</f>
        <v>0</v>
      </c>
    </row>
    <row r="88" spans="1:9" ht="12.75">
      <c r="A88" s="1" t="s">
        <v>30</v>
      </c>
      <c r="B88" s="27">
        <v>521626.3</v>
      </c>
      <c r="C88" s="27">
        <v>167476.8</v>
      </c>
      <c r="D88" s="27">
        <v>166989.6</v>
      </c>
      <c r="E88" s="28">
        <f>$D:$D/$B:$B*100</f>
        <v>32.01326313493013</v>
      </c>
      <c r="F88" s="28">
        <f>$D:$D/$C:$C*100</f>
        <v>99.70909403571122</v>
      </c>
      <c r="G88" s="104">
        <v>52964.3</v>
      </c>
      <c r="H88" s="28">
        <f t="shared" si="2"/>
        <v>315.28708960564</v>
      </c>
      <c r="I88" s="34">
        <f>D88-июль!D88</f>
        <v>15036.800000000017</v>
      </c>
    </row>
    <row r="89" spans="1:9" ht="12.75">
      <c r="A89" s="7" t="s">
        <v>31</v>
      </c>
      <c r="B89" s="26">
        <v>527.7</v>
      </c>
      <c r="C89" s="26">
        <v>345.3</v>
      </c>
      <c r="D89" s="26">
        <v>345.3</v>
      </c>
      <c r="E89" s="25">
        <f>$D:$D/$B:$B*100</f>
        <v>65.43490619670267</v>
      </c>
      <c r="F89" s="25">
        <f>$D:$D/$C:$C*100</f>
        <v>100</v>
      </c>
      <c r="G89" s="105">
        <v>269.6</v>
      </c>
      <c r="H89" s="25">
        <f t="shared" si="2"/>
        <v>128.07863501483678</v>
      </c>
      <c r="I89" s="33">
        <f>D89-июль!D89</f>
        <v>33.900000000000034</v>
      </c>
    </row>
    <row r="90" spans="1:9" ht="25.5">
      <c r="A90" s="9" t="s">
        <v>32</v>
      </c>
      <c r="B90" s="26">
        <v>37012.7</v>
      </c>
      <c r="C90" s="26">
        <v>19603.2</v>
      </c>
      <c r="D90" s="26">
        <v>19559.3</v>
      </c>
      <c r="E90" s="25">
        <f>$D:$D/$B:$B*100</f>
        <v>52.84483434064524</v>
      </c>
      <c r="F90" s="25">
        <f>$D:$D/$C:$C*100</f>
        <v>99.77605697029055</v>
      </c>
      <c r="G90" s="105">
        <v>3726.7</v>
      </c>
      <c r="H90" s="25">
        <f t="shared" si="2"/>
        <v>524.8423538251</v>
      </c>
      <c r="I90" s="33">
        <f>D90-июль!D90</f>
        <v>5016.5</v>
      </c>
    </row>
    <row r="91" spans="1:9" ht="12.75">
      <c r="A91" s="7" t="s">
        <v>33</v>
      </c>
      <c r="B91" s="33">
        <f>B92+B93+B94+B95+B96</f>
        <v>638122.4</v>
      </c>
      <c r="C91" s="33">
        <f>C92+C93+C94+C95+C96</f>
        <v>238731.59999999998</v>
      </c>
      <c r="D91" s="33">
        <f>D92+D93+D94+D95+D96</f>
        <v>238496.69999999998</v>
      </c>
      <c r="E91" s="33">
        <f>E92+E93+E94+E95</f>
        <v>95.98515740029833</v>
      </c>
      <c r="F91" s="33">
        <f>F92+F93+F94+F95</f>
        <v>200</v>
      </c>
      <c r="G91" s="33">
        <v>179842.9</v>
      </c>
      <c r="H91" s="25">
        <f t="shared" si="2"/>
        <v>132.61390913958792</v>
      </c>
      <c r="I91" s="33">
        <f>D91-июль!D91</f>
        <v>118265.49999999997</v>
      </c>
    </row>
    <row r="92" spans="1:9" ht="12.75" customHeight="1" hidden="1">
      <c r="A92" s="10" t="s">
        <v>64</v>
      </c>
      <c r="B92" s="27">
        <v>0</v>
      </c>
      <c r="C92" s="27">
        <v>0</v>
      </c>
      <c r="D92" s="27">
        <v>0</v>
      </c>
      <c r="E92" s="28">
        <v>0</v>
      </c>
      <c r="F92" s="28">
        <v>0</v>
      </c>
      <c r="G92" s="34"/>
      <c r="H92" s="28" t="e">
        <f t="shared" si="2"/>
        <v>#DIV/0!</v>
      </c>
      <c r="I92" s="34">
        <f>D92-июль!D92</f>
        <v>0</v>
      </c>
    </row>
    <row r="93" spans="1:9" ht="12.75">
      <c r="A93" s="10" t="s">
        <v>67</v>
      </c>
      <c r="B93" s="27">
        <v>14078</v>
      </c>
      <c r="C93" s="27">
        <v>368.9</v>
      </c>
      <c r="D93" s="27">
        <v>368.9</v>
      </c>
      <c r="E93" s="28">
        <f>$D:$D/$B:$B*100</f>
        <v>2.620400625088791</v>
      </c>
      <c r="F93" s="28">
        <v>0</v>
      </c>
      <c r="G93" s="104">
        <v>0</v>
      </c>
      <c r="H93" s="28">
        <v>0</v>
      </c>
      <c r="I93" s="34">
        <f>D93-июль!D93</f>
        <v>0</v>
      </c>
    </row>
    <row r="94" spans="1:9" ht="12.75">
      <c r="A94" s="8" t="s">
        <v>34</v>
      </c>
      <c r="B94" s="27">
        <v>29101</v>
      </c>
      <c r="C94" s="27">
        <v>16838.1</v>
      </c>
      <c r="D94" s="27">
        <v>16838.1</v>
      </c>
      <c r="E94" s="28">
        <f>$D:$D/$B:$B*100</f>
        <v>57.86089825091921</v>
      </c>
      <c r="F94" s="28">
        <f>$D:$D/$C:$C*100</f>
        <v>100</v>
      </c>
      <c r="G94" s="104">
        <v>16188.5</v>
      </c>
      <c r="H94" s="28">
        <f t="shared" si="2"/>
        <v>104.01272508262036</v>
      </c>
      <c r="I94" s="34">
        <f>D94-июль!D94</f>
        <v>2462.199999999999</v>
      </c>
    </row>
    <row r="95" spans="1:9" ht="12.75">
      <c r="A95" s="10" t="s">
        <v>77</v>
      </c>
      <c r="B95" s="27">
        <v>550132.6</v>
      </c>
      <c r="C95" s="27">
        <v>195318.3</v>
      </c>
      <c r="D95" s="27">
        <v>195318.3</v>
      </c>
      <c r="E95" s="28">
        <f>$D:$D/$B:$B*100</f>
        <v>35.50385852429033</v>
      </c>
      <c r="F95" s="28">
        <f>$D:$D/$C:$C*100</f>
        <v>100</v>
      </c>
      <c r="G95" s="104">
        <v>142335.3</v>
      </c>
      <c r="H95" s="28">
        <f t="shared" si="2"/>
        <v>137.22407582658693</v>
      </c>
      <c r="I95" s="34">
        <f>D95-июль!D95</f>
        <v>104489.19999999998</v>
      </c>
    </row>
    <row r="96" spans="1:9" ht="12.75">
      <c r="A96" s="8" t="s">
        <v>35</v>
      </c>
      <c r="B96" s="27">
        <v>44810.8</v>
      </c>
      <c r="C96" s="27">
        <v>26206.3</v>
      </c>
      <c r="D96" s="27">
        <v>25971.4</v>
      </c>
      <c r="E96" s="28">
        <f>$D:$D/$B:$B*100</f>
        <v>57.95790300552546</v>
      </c>
      <c r="F96" s="28"/>
      <c r="G96" s="104">
        <v>21319.1</v>
      </c>
      <c r="H96" s="28">
        <f t="shared" si="2"/>
        <v>121.8222157595771</v>
      </c>
      <c r="I96" s="34">
        <f>D96-июль!D96</f>
        <v>11314.100000000002</v>
      </c>
    </row>
    <row r="97" spans="1:9" ht="12.75">
      <c r="A97" s="7" t="s">
        <v>36</v>
      </c>
      <c r="B97" s="33">
        <f>B99+B100+B101+B98</f>
        <v>494511.60000000003</v>
      </c>
      <c r="C97" s="26">
        <f>C99+C100+C101+C98</f>
        <v>153851.30000000002</v>
      </c>
      <c r="D97" s="33">
        <f>D99+D100+D101+D98</f>
        <v>152610.9</v>
      </c>
      <c r="E97" s="33">
        <f>E100+E101+E98</f>
        <v>83.07048963848425</v>
      </c>
      <c r="F97" s="25">
        <f>$D:$D/$C:$C*100</f>
        <v>99.19376696849488</v>
      </c>
      <c r="G97" s="33">
        <v>156800.5</v>
      </c>
      <c r="H97" s="25">
        <f t="shared" si="2"/>
        <v>97.32806974467556</v>
      </c>
      <c r="I97" s="33">
        <f>D97-июль!D97</f>
        <v>14072.699999999983</v>
      </c>
    </row>
    <row r="98" spans="1:9" ht="12.75">
      <c r="A98" s="8" t="s">
        <v>37</v>
      </c>
      <c r="B98" s="27">
        <v>86977.7</v>
      </c>
      <c r="C98" s="27">
        <v>27847.4</v>
      </c>
      <c r="D98" s="27">
        <v>27847.4</v>
      </c>
      <c r="E98" s="43">
        <v>0</v>
      </c>
      <c r="F98" s="28">
        <v>0</v>
      </c>
      <c r="G98" s="104">
        <v>12024.7</v>
      </c>
      <c r="H98" s="28">
        <f t="shared" si="2"/>
        <v>231.5849875672574</v>
      </c>
      <c r="I98" s="34">
        <f>D98-июль!D98</f>
        <v>3164.4000000000015</v>
      </c>
    </row>
    <row r="99" spans="1:9" ht="12.75">
      <c r="A99" s="8" t="s">
        <v>38</v>
      </c>
      <c r="B99" s="27">
        <v>3889.7</v>
      </c>
      <c r="C99" s="27">
        <v>281.8</v>
      </c>
      <c r="D99" s="27">
        <v>281.8</v>
      </c>
      <c r="E99" s="28">
        <f aca="true" t="shared" si="3" ref="E99:E104">$D:$D/$B:$B*100</f>
        <v>7.244774661284932</v>
      </c>
      <c r="F99" s="28">
        <v>0</v>
      </c>
      <c r="G99" s="104">
        <v>762.7</v>
      </c>
      <c r="H99" s="28">
        <f t="shared" si="2"/>
        <v>36.94768585289104</v>
      </c>
      <c r="I99" s="34">
        <f>D99-июль!D99</f>
        <v>53.30000000000001</v>
      </c>
    </row>
    <row r="100" spans="1:9" ht="12.75">
      <c r="A100" s="8" t="s">
        <v>39</v>
      </c>
      <c r="B100" s="27">
        <v>301528</v>
      </c>
      <c r="C100" s="27">
        <v>59959.3</v>
      </c>
      <c r="D100" s="27">
        <v>59959.2</v>
      </c>
      <c r="E100" s="28">
        <f t="shared" si="3"/>
        <v>19.885118463293626</v>
      </c>
      <c r="F100" s="28">
        <f>$D:$D/$C:$C*100</f>
        <v>99.99983322020103</v>
      </c>
      <c r="G100" s="104">
        <v>79271.6</v>
      </c>
      <c r="H100" s="28">
        <f t="shared" si="2"/>
        <v>75.63768108629067</v>
      </c>
      <c r="I100" s="34">
        <f>D100-июль!D100</f>
        <v>9235.799999999996</v>
      </c>
    </row>
    <row r="101" spans="1:9" ht="12.75">
      <c r="A101" s="8" t="s">
        <v>40</v>
      </c>
      <c r="B101" s="27">
        <v>102116.2</v>
      </c>
      <c r="C101" s="27">
        <v>65762.8</v>
      </c>
      <c r="D101" s="27">
        <v>64522.5</v>
      </c>
      <c r="E101" s="28">
        <f t="shared" si="3"/>
        <v>63.18537117519062</v>
      </c>
      <c r="F101" s="28">
        <f>$D:$D/$C:$C*100</f>
        <v>98.11397933178027</v>
      </c>
      <c r="G101" s="104">
        <v>64741.5</v>
      </c>
      <c r="H101" s="28">
        <f t="shared" si="2"/>
        <v>99.66173165589305</v>
      </c>
      <c r="I101" s="34">
        <f>D101-июль!D101</f>
        <v>1619.199999999997</v>
      </c>
    </row>
    <row r="102" spans="1:9" ht="12.75">
      <c r="A102" s="11" t="s">
        <v>115</v>
      </c>
      <c r="B102" s="33">
        <f>B103+B104</f>
        <v>14100.3</v>
      </c>
      <c r="C102" s="33">
        <f>C103+C104</f>
        <v>2090</v>
      </c>
      <c r="D102" s="33">
        <f>D103+D104</f>
        <v>2090</v>
      </c>
      <c r="E102" s="25">
        <f t="shared" si="3"/>
        <v>14.822379665680874</v>
      </c>
      <c r="F102" s="25"/>
      <c r="G102" s="33">
        <v>888.6</v>
      </c>
      <c r="H102" s="25">
        <f t="shared" si="2"/>
        <v>235.20144046815213</v>
      </c>
      <c r="I102" s="33">
        <f>D102-июль!D102</f>
        <v>224.70000000000005</v>
      </c>
    </row>
    <row r="103" spans="1:9" ht="25.5">
      <c r="A103" s="39" t="s">
        <v>143</v>
      </c>
      <c r="B103" s="27">
        <v>2094</v>
      </c>
      <c r="C103" s="27">
        <v>2090</v>
      </c>
      <c r="D103" s="27">
        <v>2090</v>
      </c>
      <c r="E103" s="28">
        <f t="shared" si="3"/>
        <v>99.80897803247373</v>
      </c>
      <c r="F103" s="28"/>
      <c r="G103" s="104">
        <v>888.6</v>
      </c>
      <c r="H103" s="28">
        <f t="shared" si="2"/>
        <v>235.20144046815213</v>
      </c>
      <c r="I103" s="34">
        <f>D103-июль!D103</f>
        <v>224.70000000000005</v>
      </c>
    </row>
    <row r="104" spans="1:9" ht="25.5">
      <c r="A104" s="8" t="s">
        <v>165</v>
      </c>
      <c r="B104" s="27">
        <v>12006.3</v>
      </c>
      <c r="C104" s="27">
        <v>0</v>
      </c>
      <c r="D104" s="27">
        <v>0</v>
      </c>
      <c r="E104" s="28">
        <f t="shared" si="3"/>
        <v>0</v>
      </c>
      <c r="F104" s="28"/>
      <c r="G104" s="104">
        <v>0</v>
      </c>
      <c r="H104" s="28">
        <v>0</v>
      </c>
      <c r="I104" s="34">
        <f>D104-июль!D104</f>
        <v>0</v>
      </c>
    </row>
    <row r="105" spans="1:9" ht="12.75">
      <c r="A105" s="11" t="s">
        <v>41</v>
      </c>
      <c r="B105" s="33">
        <f>B106+B107+B109+B110+B111+B108</f>
        <v>1950995.76</v>
      </c>
      <c r="C105" s="33">
        <f>C106+C107+C109+C110+C111+C108</f>
        <v>1261687.2</v>
      </c>
      <c r="D105" s="33">
        <f>D106+D107+D109+D110+D111+D108</f>
        <v>1261564.4</v>
      </c>
      <c r="E105" s="33">
        <f>E106+E107+E110+E111+E109</f>
        <v>276.37690029170307</v>
      </c>
      <c r="F105" s="33">
        <f>F106+F107+F110+F111+F109</f>
        <v>492.45495116626125</v>
      </c>
      <c r="G105" s="33">
        <v>1065404.1</v>
      </c>
      <c r="H105" s="25">
        <f t="shared" si="2"/>
        <v>118.41182139246507</v>
      </c>
      <c r="I105" s="33">
        <f>D105-июль!D105</f>
        <v>145413.6000000001</v>
      </c>
    </row>
    <row r="106" spans="1:9" ht="12.75">
      <c r="A106" s="8" t="s">
        <v>42</v>
      </c>
      <c r="B106" s="27">
        <v>745107.8</v>
      </c>
      <c r="C106" s="27">
        <v>484353.3</v>
      </c>
      <c r="D106" s="27">
        <v>484353.3</v>
      </c>
      <c r="E106" s="28">
        <f aca="true" t="shared" si="4" ref="E106:E116">$D:$D/$B:$B*100</f>
        <v>65.00445975736665</v>
      </c>
      <c r="F106" s="28">
        <f aca="true" t="shared" si="5" ref="F106:F114">$D:$D/$C:$C*100</f>
        <v>100</v>
      </c>
      <c r="G106" s="104">
        <v>401998.5</v>
      </c>
      <c r="H106" s="28">
        <f t="shared" si="2"/>
        <v>120.4863450983026</v>
      </c>
      <c r="I106" s="34">
        <f>D106-июль!D106</f>
        <v>62453</v>
      </c>
    </row>
    <row r="107" spans="1:9" ht="12.75">
      <c r="A107" s="8" t="s">
        <v>43</v>
      </c>
      <c r="B107" s="27">
        <v>797908.1</v>
      </c>
      <c r="C107" s="27">
        <v>517762.9</v>
      </c>
      <c r="D107" s="27">
        <v>517712.9</v>
      </c>
      <c r="E107" s="28">
        <f t="shared" si="4"/>
        <v>64.88377546236215</v>
      </c>
      <c r="F107" s="28">
        <f t="shared" si="5"/>
        <v>99.99034307015818</v>
      </c>
      <c r="G107" s="104">
        <v>428645.5</v>
      </c>
      <c r="H107" s="28">
        <f t="shared" si="2"/>
        <v>120.77880206370999</v>
      </c>
      <c r="I107" s="34">
        <f>D107-июль!D107</f>
        <v>53507.40000000002</v>
      </c>
    </row>
    <row r="108" spans="1:9" ht="12.75">
      <c r="A108" s="21" t="s">
        <v>105</v>
      </c>
      <c r="B108" s="27">
        <v>155268.6</v>
      </c>
      <c r="C108" s="27">
        <v>95317.3</v>
      </c>
      <c r="D108" s="27">
        <v>95317.3</v>
      </c>
      <c r="E108" s="28">
        <f t="shared" si="4"/>
        <v>61.388651665565355</v>
      </c>
      <c r="F108" s="28">
        <f t="shared" si="5"/>
        <v>100</v>
      </c>
      <c r="G108" s="104">
        <v>91385.3</v>
      </c>
      <c r="H108" s="28">
        <f t="shared" si="2"/>
        <v>104.30266136895104</v>
      </c>
      <c r="I108" s="34">
        <f>D108-июль!D108</f>
        <v>5541.800000000003</v>
      </c>
    </row>
    <row r="109" spans="1:9" ht="25.5">
      <c r="A109" s="8" t="s">
        <v>123</v>
      </c>
      <c r="B109" s="27">
        <v>374.76</v>
      </c>
      <c r="C109" s="27">
        <v>80.1</v>
      </c>
      <c r="D109" s="27">
        <v>74.1</v>
      </c>
      <c r="E109" s="28">
        <f t="shared" si="4"/>
        <v>19.772654498879284</v>
      </c>
      <c r="F109" s="28">
        <f t="shared" si="5"/>
        <v>92.50936329588015</v>
      </c>
      <c r="G109" s="104">
        <v>400.9</v>
      </c>
      <c r="H109" s="28">
        <f t="shared" si="2"/>
        <v>18.48341232227488</v>
      </c>
      <c r="I109" s="34">
        <f>D109-июль!D109</f>
        <v>14.499999999999993</v>
      </c>
    </row>
    <row r="110" spans="1:9" ht="12.75">
      <c r="A110" s="8" t="s">
        <v>44</v>
      </c>
      <c r="B110" s="27">
        <v>24342.6</v>
      </c>
      <c r="C110" s="27">
        <v>14917.2</v>
      </c>
      <c r="D110" s="27">
        <v>14917.2</v>
      </c>
      <c r="E110" s="28">
        <f t="shared" si="4"/>
        <v>61.28022479110695</v>
      </c>
      <c r="F110" s="28">
        <f t="shared" si="5"/>
        <v>100</v>
      </c>
      <c r="G110" s="104">
        <v>34891.3</v>
      </c>
      <c r="H110" s="28">
        <f t="shared" si="2"/>
        <v>42.753351121912914</v>
      </c>
      <c r="I110" s="34">
        <f>D110-июль!D110</f>
        <v>3126</v>
      </c>
    </row>
    <row r="111" spans="1:9" ht="12.75">
      <c r="A111" s="8" t="s">
        <v>45</v>
      </c>
      <c r="B111" s="27">
        <v>227993.9</v>
      </c>
      <c r="C111" s="27">
        <v>149256.4</v>
      </c>
      <c r="D111" s="27">
        <v>149189.6</v>
      </c>
      <c r="E111" s="28">
        <f t="shared" si="4"/>
        <v>65.43578578198803</v>
      </c>
      <c r="F111" s="28">
        <f t="shared" si="5"/>
        <v>99.95524480022297</v>
      </c>
      <c r="G111" s="104">
        <v>108082.6</v>
      </c>
      <c r="H111" s="28">
        <f t="shared" si="2"/>
        <v>138.0329488742869</v>
      </c>
      <c r="I111" s="34">
        <f>D111-июль!D111</f>
        <v>20770.90000000001</v>
      </c>
    </row>
    <row r="112" spans="1:9" ht="25.5">
      <c r="A112" s="11" t="s">
        <v>46</v>
      </c>
      <c r="B112" s="33">
        <f>B113+B114</f>
        <v>346883.80000000005</v>
      </c>
      <c r="C112" s="33">
        <f>C113+C114</f>
        <v>215730.3</v>
      </c>
      <c r="D112" s="33">
        <f>D113+D114</f>
        <v>215571.8</v>
      </c>
      <c r="E112" s="25">
        <f t="shared" si="4"/>
        <v>62.145248639457925</v>
      </c>
      <c r="F112" s="25">
        <f t="shared" si="5"/>
        <v>99.92652863320545</v>
      </c>
      <c r="G112" s="33">
        <v>126781.8</v>
      </c>
      <c r="H112" s="25">
        <f t="shared" si="2"/>
        <v>170.03371146331727</v>
      </c>
      <c r="I112" s="33">
        <f>D112-июль!D112</f>
        <v>40968.59999999998</v>
      </c>
    </row>
    <row r="113" spans="1:9" ht="12.75">
      <c r="A113" s="8" t="s">
        <v>47</v>
      </c>
      <c r="B113" s="27">
        <v>221274.2</v>
      </c>
      <c r="C113" s="27">
        <v>155494.3</v>
      </c>
      <c r="D113" s="27">
        <v>155380.6</v>
      </c>
      <c r="E113" s="28">
        <f t="shared" si="4"/>
        <v>70.22083912177742</v>
      </c>
      <c r="F113" s="28">
        <f t="shared" si="5"/>
        <v>99.92687834859542</v>
      </c>
      <c r="G113" s="104">
        <v>111081.1</v>
      </c>
      <c r="H113" s="28">
        <f t="shared" si="2"/>
        <v>139.88032167488439</v>
      </c>
      <c r="I113" s="34">
        <f>D113-июль!D113</f>
        <v>39989.100000000006</v>
      </c>
    </row>
    <row r="114" spans="1:9" ht="25.5">
      <c r="A114" s="8" t="s">
        <v>48</v>
      </c>
      <c r="B114" s="27">
        <v>125609.6</v>
      </c>
      <c r="C114" s="27">
        <v>60236</v>
      </c>
      <c r="D114" s="27">
        <v>60191.2</v>
      </c>
      <c r="E114" s="28">
        <f t="shared" si="4"/>
        <v>47.91926731714773</v>
      </c>
      <c r="F114" s="28">
        <f t="shared" si="5"/>
        <v>99.92562587157181</v>
      </c>
      <c r="G114" s="104">
        <v>15700.7</v>
      </c>
      <c r="H114" s="28">
        <f t="shared" si="2"/>
        <v>383.36634672339443</v>
      </c>
      <c r="I114" s="34">
        <f>D114-июль!D114</f>
        <v>979.5</v>
      </c>
    </row>
    <row r="115" spans="1:9" ht="12.75">
      <c r="A115" s="11" t="s">
        <v>97</v>
      </c>
      <c r="B115" s="33">
        <f>B116</f>
        <v>163.45</v>
      </c>
      <c r="C115" s="33">
        <f>C116</f>
        <v>163.5</v>
      </c>
      <c r="D115" s="33">
        <f>D116</f>
        <v>163.5</v>
      </c>
      <c r="E115" s="25">
        <f t="shared" si="4"/>
        <v>100.0305903946161</v>
      </c>
      <c r="F115" s="25">
        <v>0</v>
      </c>
      <c r="G115" s="33">
        <v>158.13</v>
      </c>
      <c r="H115" s="25">
        <f t="shared" si="2"/>
        <v>103.39594004932651</v>
      </c>
      <c r="I115" s="33">
        <f>D115-июль!D115</f>
        <v>0</v>
      </c>
    </row>
    <row r="116" spans="1:9" ht="12.75">
      <c r="A116" s="8" t="s">
        <v>98</v>
      </c>
      <c r="B116" s="27">
        <v>163.45</v>
      </c>
      <c r="C116" s="27">
        <v>163.5</v>
      </c>
      <c r="D116" s="27">
        <v>163.5</v>
      </c>
      <c r="E116" s="28">
        <f t="shared" si="4"/>
        <v>100.0305903946161</v>
      </c>
      <c r="F116" s="28">
        <v>0</v>
      </c>
      <c r="G116" s="34">
        <v>158.13</v>
      </c>
      <c r="H116" s="28">
        <f t="shared" si="2"/>
        <v>103.39594004932651</v>
      </c>
      <c r="I116" s="34">
        <f>D116-июль!D116</f>
        <v>0</v>
      </c>
    </row>
    <row r="117" spans="1:9" ht="12.75">
      <c r="A117" s="11" t="s">
        <v>49</v>
      </c>
      <c r="B117" s="33">
        <f>B118+B120+B121+B122</f>
        <v>170101.78</v>
      </c>
      <c r="C117" s="33">
        <f>C118+C120+C121+C122</f>
        <v>87689.59999999999</v>
      </c>
      <c r="D117" s="33">
        <f>D118+D120+D121+D122</f>
        <v>87521.5</v>
      </c>
      <c r="E117" s="33">
        <f>E118+E119+E120+E121</f>
        <v>151.56286247373114</v>
      </c>
      <c r="F117" s="33" t="e">
        <f>F118+F119+F120+F121</f>
        <v>#DIV/0!</v>
      </c>
      <c r="G117" s="33">
        <v>63113.4</v>
      </c>
      <c r="H117" s="25">
        <f t="shared" si="2"/>
        <v>138.67340374627258</v>
      </c>
      <c r="I117" s="33">
        <f>D117-июль!D117</f>
        <v>5349.5</v>
      </c>
    </row>
    <row r="118" spans="1:9" ht="12.75">
      <c r="A118" s="8" t="s">
        <v>50</v>
      </c>
      <c r="B118" s="27">
        <v>3025.38</v>
      </c>
      <c r="C118" s="27">
        <v>1350.7</v>
      </c>
      <c r="D118" s="27">
        <v>1350.7</v>
      </c>
      <c r="E118" s="28">
        <f>$D:$D/$B:$B*100</f>
        <v>44.645631292597955</v>
      </c>
      <c r="F118" s="28">
        <v>0</v>
      </c>
      <c r="G118" s="104">
        <v>1496.3</v>
      </c>
      <c r="H118" s="28">
        <f t="shared" si="2"/>
        <v>90.2693310165074</v>
      </c>
      <c r="I118" s="34">
        <f>D118-июль!D118</f>
        <v>217.9000000000001</v>
      </c>
    </row>
    <row r="119" spans="1:9" ht="12.75" hidden="1">
      <c r="A119" s="8" t="s">
        <v>51</v>
      </c>
      <c r="B119" s="22">
        <v>0</v>
      </c>
      <c r="C119" s="22">
        <v>0</v>
      </c>
      <c r="D119" s="22">
        <v>0</v>
      </c>
      <c r="E119" s="28">
        <v>0</v>
      </c>
      <c r="F119" s="28" t="e">
        <f>$D:$D/$C:$C*100</f>
        <v>#DIV/0!</v>
      </c>
      <c r="G119" s="104">
        <v>0</v>
      </c>
      <c r="H119" s="28" t="e">
        <f t="shared" si="2"/>
        <v>#DIV/0!</v>
      </c>
      <c r="I119" s="34">
        <f>D119-июль!D119</f>
        <v>0</v>
      </c>
    </row>
    <row r="120" spans="1:9" ht="12.75">
      <c r="A120" s="8" t="s">
        <v>52</v>
      </c>
      <c r="B120" s="27">
        <v>106434.5</v>
      </c>
      <c r="C120" s="27">
        <v>49957.1</v>
      </c>
      <c r="D120" s="27">
        <v>49957.1</v>
      </c>
      <c r="E120" s="28">
        <f>$D:$D/$B:$B*100</f>
        <v>46.936942438776896</v>
      </c>
      <c r="F120" s="28">
        <v>0</v>
      </c>
      <c r="G120" s="104">
        <v>40199.4</v>
      </c>
      <c r="H120" s="28">
        <f t="shared" si="2"/>
        <v>124.27324785942078</v>
      </c>
      <c r="I120" s="34">
        <f>D120-июль!D120</f>
        <v>164.90000000000146</v>
      </c>
    </row>
    <row r="121" spans="1:9" ht="12.75">
      <c r="A121" s="8" t="s">
        <v>53</v>
      </c>
      <c r="B121" s="27">
        <v>58037.9</v>
      </c>
      <c r="C121" s="27">
        <v>34914.5</v>
      </c>
      <c r="D121" s="27">
        <v>34811.3</v>
      </c>
      <c r="E121" s="28">
        <f>$D:$D/$B:$B*100</f>
        <v>59.980288742356294</v>
      </c>
      <c r="F121" s="28">
        <f>$D:$D/$C:$C*100</f>
        <v>99.70442079938135</v>
      </c>
      <c r="G121" s="104">
        <v>20106.3</v>
      </c>
      <c r="H121" s="28">
        <f t="shared" si="2"/>
        <v>173.13628066824828</v>
      </c>
      <c r="I121" s="34">
        <f>D121-июль!D121</f>
        <v>4679.000000000004</v>
      </c>
    </row>
    <row r="122" spans="1:9" ht="12.75">
      <c r="A122" s="8" t="s">
        <v>54</v>
      </c>
      <c r="B122" s="27">
        <v>2604</v>
      </c>
      <c r="C122" s="27">
        <v>1467.3</v>
      </c>
      <c r="D122" s="27">
        <v>1402.4</v>
      </c>
      <c r="E122" s="28">
        <f>$D:$D/$B:$B*100</f>
        <v>53.855606758832565</v>
      </c>
      <c r="F122" s="28"/>
      <c r="G122" s="104">
        <v>1311.4</v>
      </c>
      <c r="H122" s="28">
        <f t="shared" si="2"/>
        <v>106.93914900106756</v>
      </c>
      <c r="I122" s="34">
        <f>D122-июль!D122</f>
        <v>287.70000000000005</v>
      </c>
    </row>
    <row r="123" spans="1:9" ht="12.75">
      <c r="A123" s="11" t="s">
        <v>61</v>
      </c>
      <c r="B123" s="26">
        <f>B124+B125+B126</f>
        <v>361142.7</v>
      </c>
      <c r="C123" s="26">
        <f>C124+C125+C126</f>
        <v>151149.30000000002</v>
      </c>
      <c r="D123" s="26">
        <f>D124+D125+D126</f>
        <v>151044.8</v>
      </c>
      <c r="E123" s="25">
        <f>$D:$D/$B:$B*100</f>
        <v>41.82413212284229</v>
      </c>
      <c r="F123" s="25">
        <f>$D:$D/$C:$C*100</f>
        <v>99.93086306056328</v>
      </c>
      <c r="G123" s="26">
        <v>128876.3</v>
      </c>
      <c r="H123" s="25">
        <f t="shared" si="2"/>
        <v>117.20137837600862</v>
      </c>
      <c r="I123" s="33">
        <f>D123-июль!D123</f>
        <v>16918.29999999999</v>
      </c>
    </row>
    <row r="124" spans="1:9" ht="12.75">
      <c r="A124" s="39" t="s">
        <v>62</v>
      </c>
      <c r="B124" s="27">
        <v>294545.2</v>
      </c>
      <c r="C124" s="27">
        <v>112092.4</v>
      </c>
      <c r="D124" s="27">
        <v>112091.7</v>
      </c>
      <c r="E124" s="28">
        <f>$D:$D/$B:$B*100</f>
        <v>38.05585696185169</v>
      </c>
      <c r="F124" s="28">
        <f>$D:$D/$C:$C*100</f>
        <v>99.99937551519996</v>
      </c>
      <c r="G124" s="104">
        <v>54936.7</v>
      </c>
      <c r="H124" s="28">
        <f t="shared" si="2"/>
        <v>204.0379200061161</v>
      </c>
      <c r="I124" s="34">
        <f>D124-июль!D124</f>
        <v>13089.800000000003</v>
      </c>
    </row>
    <row r="125" spans="1:9" ht="24.75" customHeight="1">
      <c r="A125" s="12" t="s">
        <v>63</v>
      </c>
      <c r="B125" s="27">
        <v>61418.5</v>
      </c>
      <c r="C125" s="27">
        <v>36083.8</v>
      </c>
      <c r="D125" s="27">
        <v>36083.8</v>
      </c>
      <c r="E125" s="28">
        <v>0</v>
      </c>
      <c r="F125" s="28">
        <v>0</v>
      </c>
      <c r="G125" s="104">
        <v>71444.5</v>
      </c>
      <c r="H125" s="28">
        <f t="shared" si="2"/>
        <v>50.506057149255724</v>
      </c>
      <c r="I125" s="34">
        <f>D125-июль!D125</f>
        <v>3364.4000000000015</v>
      </c>
    </row>
    <row r="126" spans="1:9" ht="25.5">
      <c r="A126" s="12" t="s">
        <v>73</v>
      </c>
      <c r="B126" s="27">
        <v>5179</v>
      </c>
      <c r="C126" s="27">
        <v>2973.1</v>
      </c>
      <c r="D126" s="27">
        <v>2869.3</v>
      </c>
      <c r="E126" s="28">
        <f>$D:$D/$B:$B*100</f>
        <v>55.40258737207956</v>
      </c>
      <c r="F126" s="28">
        <f>$D:$D/$C:$C*100</f>
        <v>96.50869462850224</v>
      </c>
      <c r="G126" s="104">
        <v>2495.1</v>
      </c>
      <c r="H126" s="28">
        <f t="shared" si="2"/>
        <v>114.99739489399224</v>
      </c>
      <c r="I126" s="34">
        <f>D126-июль!D126</f>
        <v>464.10000000000036</v>
      </c>
    </row>
    <row r="127" spans="1:9" s="99" customFormat="1" ht="26.25" customHeight="1">
      <c r="A127" s="13" t="s">
        <v>80</v>
      </c>
      <c r="B127" s="26">
        <v>5.8</v>
      </c>
      <c r="C127" s="26">
        <v>5.75</v>
      </c>
      <c r="D127" s="26">
        <v>5.75</v>
      </c>
      <c r="E127" s="25">
        <f>$D:$D/$B:$B*100</f>
        <v>99.13793103448276</v>
      </c>
      <c r="F127" s="25">
        <v>0</v>
      </c>
      <c r="G127" s="104">
        <v>2.01384</v>
      </c>
      <c r="H127" s="28">
        <f t="shared" si="2"/>
        <v>285.52417272474474</v>
      </c>
      <c r="I127" s="34">
        <f>D127-июль!D127</f>
        <v>0</v>
      </c>
    </row>
    <row r="128" spans="1:9" ht="13.5" customHeight="1">
      <c r="A128" s="12" t="s">
        <v>81</v>
      </c>
      <c r="B128" s="27">
        <v>5.8</v>
      </c>
      <c r="C128" s="27">
        <v>5.75</v>
      </c>
      <c r="D128" s="27">
        <v>5.75</v>
      </c>
      <c r="E128" s="28">
        <f>$D:$D/$B:$B*100</f>
        <v>99.13793103448276</v>
      </c>
      <c r="F128" s="28">
        <v>0</v>
      </c>
      <c r="G128" s="34">
        <v>2.01</v>
      </c>
      <c r="H128" s="28">
        <f t="shared" si="2"/>
        <v>286.06965174129357</v>
      </c>
      <c r="I128" s="34">
        <f>D128-июль!D128</f>
        <v>0</v>
      </c>
    </row>
    <row r="129" spans="1:9" ht="15.75" customHeight="1">
      <c r="A129" s="14" t="s">
        <v>55</v>
      </c>
      <c r="B129" s="33">
        <f>B80+B89+B90+B91+B97+B105+B112+B115+B117+B123+B127+B102</f>
        <v>4638070.890000001</v>
      </c>
      <c r="C129" s="33">
        <f>C80+C89+C90+C91+C97+C105+C112+C115+C117+C123+C127+C102</f>
        <v>2362869.4899999998</v>
      </c>
      <c r="D129" s="33">
        <f>D80+D89+D90+D91+D97+D105+D112+D115+D117+D123+D127+D102+0.1</f>
        <v>2358802.9599999995</v>
      </c>
      <c r="E129" s="25">
        <f>$D:$D/$B:$B*100</f>
        <v>50.85741498875622</v>
      </c>
      <c r="F129" s="25">
        <f>$D:$D/$C:$C*100</f>
        <v>99.82789866231671</v>
      </c>
      <c r="G129" s="33">
        <v>1839447.84384</v>
      </c>
      <c r="H129" s="25">
        <f t="shared" si="2"/>
        <v>128.2342942149315</v>
      </c>
      <c r="I129" s="33">
        <f>D129-июль!D129</f>
        <v>371489.5699999996</v>
      </c>
    </row>
    <row r="130" spans="1:9" ht="26.25" customHeight="1">
      <c r="A130" s="79" t="s">
        <v>56</v>
      </c>
      <c r="B130" s="80">
        <f>B74-B129</f>
        <v>-171004.66999999993</v>
      </c>
      <c r="C130" s="80">
        <f>C74-C129</f>
        <v>177373.03000000026</v>
      </c>
      <c r="D130" s="80">
        <f>D74-D129</f>
        <v>230349.77000000002</v>
      </c>
      <c r="E130" s="80"/>
      <c r="F130" s="80"/>
      <c r="G130" s="33">
        <v>280444.8561600002</v>
      </c>
      <c r="H130" s="80"/>
      <c r="I130" s="34">
        <f>D130-июль!D130</f>
        <v>42385.90000000014</v>
      </c>
    </row>
    <row r="131" spans="1:9" ht="24" customHeight="1">
      <c r="A131" s="1" t="s">
        <v>57</v>
      </c>
      <c r="B131" s="27" t="s">
        <v>159</v>
      </c>
      <c r="C131" s="27"/>
      <c r="D131" s="27" t="s">
        <v>187</v>
      </c>
      <c r="E131" s="27"/>
      <c r="F131" s="27"/>
      <c r="G131" s="27" t="s">
        <v>186</v>
      </c>
      <c r="H131" s="26"/>
      <c r="I131" s="34"/>
    </row>
    <row r="132" spans="1:9" ht="12.75">
      <c r="A132" s="3" t="s">
        <v>58</v>
      </c>
      <c r="B132" s="77">
        <f>B134+B135</f>
        <v>99223.6</v>
      </c>
      <c r="C132" s="77">
        <f>C134+C135</f>
        <v>0</v>
      </c>
      <c r="D132" s="77">
        <f>D134+D135</f>
        <v>294573.4</v>
      </c>
      <c r="E132" s="77"/>
      <c r="F132" s="77">
        <f>F134+F135</f>
        <v>0</v>
      </c>
      <c r="G132" s="106">
        <v>311266.6</v>
      </c>
      <c r="H132" s="77"/>
      <c r="I132" s="34">
        <f>D132-июль!D132</f>
        <v>42385.90000000002</v>
      </c>
    </row>
    <row r="133" spans="1:9" ht="12" customHeight="1">
      <c r="A133" s="1" t="s">
        <v>6</v>
      </c>
      <c r="B133" s="78"/>
      <c r="C133" s="27"/>
      <c r="D133" s="27"/>
      <c r="E133" s="27"/>
      <c r="F133" s="27"/>
      <c r="G133" s="27"/>
      <c r="H133" s="35"/>
      <c r="I133" s="34">
        <f>D133-июль!D133</f>
        <v>0</v>
      </c>
    </row>
    <row r="134" spans="1:9" ht="12.75">
      <c r="A134" s="5" t="s">
        <v>59</v>
      </c>
      <c r="B134" s="78">
        <v>53815.7</v>
      </c>
      <c r="C134" s="27"/>
      <c r="D134" s="27">
        <v>237312.4</v>
      </c>
      <c r="E134" s="27"/>
      <c r="F134" s="27"/>
      <c r="G134" s="27">
        <v>209566.8</v>
      </c>
      <c r="H134" s="35"/>
      <c r="I134" s="34">
        <f>D134-июль!D134</f>
        <v>67658</v>
      </c>
    </row>
    <row r="135" spans="1:9" ht="12.75">
      <c r="A135" s="1" t="s">
        <v>60</v>
      </c>
      <c r="B135" s="78">
        <f>99223.6-B134</f>
        <v>45407.90000000001</v>
      </c>
      <c r="C135" s="27"/>
      <c r="D135" s="27">
        <v>57261</v>
      </c>
      <c r="E135" s="27"/>
      <c r="F135" s="27"/>
      <c r="G135" s="27">
        <v>101699.79999999999</v>
      </c>
      <c r="H135" s="35"/>
      <c r="I135" s="34">
        <f>D135-июль!D135</f>
        <v>-25272.100000000006</v>
      </c>
    </row>
    <row r="136" spans="1:9" ht="12.75">
      <c r="A136" s="3" t="s">
        <v>99</v>
      </c>
      <c r="B136" s="26">
        <f>B137-B138</f>
        <v>22950</v>
      </c>
      <c r="C136" s="26">
        <f>C137-C138</f>
        <v>-35000</v>
      </c>
      <c r="D136" s="26">
        <f>D137-D138</f>
        <v>-35000</v>
      </c>
      <c r="E136" s="26"/>
      <c r="F136" s="26">
        <f>F137-F138</f>
        <v>0</v>
      </c>
      <c r="G136" s="26">
        <v>-12050</v>
      </c>
      <c r="H136" s="26"/>
      <c r="I136" s="34">
        <f>D136-июль!D136</f>
        <v>0</v>
      </c>
    </row>
    <row r="137" spans="1:9" ht="12.75">
      <c r="A137" s="2" t="s">
        <v>100</v>
      </c>
      <c r="B137" s="27">
        <v>35000</v>
      </c>
      <c r="C137" s="27">
        <v>0</v>
      </c>
      <c r="D137" s="27">
        <v>0</v>
      </c>
      <c r="E137" s="36"/>
      <c r="F137" s="36"/>
      <c r="G137" s="36">
        <v>0</v>
      </c>
      <c r="H137" s="37"/>
      <c r="I137" s="34">
        <f>D137-июль!D137</f>
        <v>0</v>
      </c>
    </row>
    <row r="138" spans="1:9" ht="12.75">
      <c r="A138" s="2" t="s">
        <v>101</v>
      </c>
      <c r="B138" s="27">
        <v>12050</v>
      </c>
      <c r="C138" s="27">
        <v>35000</v>
      </c>
      <c r="D138" s="27">
        <v>35000</v>
      </c>
      <c r="E138" s="36"/>
      <c r="F138" s="36"/>
      <c r="G138" s="27">
        <v>12050</v>
      </c>
      <c r="H138" s="37"/>
      <c r="I138" s="34">
        <f>D138-июль!D138</f>
        <v>0</v>
      </c>
    </row>
    <row r="139" spans="1:9" ht="12.75">
      <c r="A139" s="15"/>
      <c r="B139" s="24"/>
      <c r="C139" s="24"/>
      <c r="D139" s="24"/>
      <c r="E139" s="24"/>
      <c r="F139" s="24"/>
      <c r="G139" s="84"/>
      <c r="H139" s="24"/>
      <c r="I139" s="24"/>
    </row>
    <row r="141" ht="12" customHeight="1">
      <c r="A141" s="21" t="s">
        <v>79</v>
      </c>
    </row>
    <row r="142" ht="12.75" customHeight="1" hidden="1"/>
    <row r="144" spans="1:9" ht="25.5">
      <c r="A144" s="15" t="s">
        <v>103</v>
      </c>
      <c r="B144" s="24"/>
      <c r="C144" s="24"/>
      <c r="D144" s="24" t="s">
        <v>137</v>
      </c>
      <c r="E144" s="24"/>
      <c r="F144" s="24"/>
      <c r="G144" s="84"/>
      <c r="H144" s="24"/>
      <c r="I144" s="24"/>
    </row>
  </sheetData>
  <sheetProtection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44"/>
  <sheetViews>
    <sheetView zoomScaleSheetLayoutView="100" zoomScalePageLayoutView="0" workbookViewId="0" topLeftCell="A1">
      <pane xSplit="1" ySplit="6" topLeftCell="B4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7" sqref="I7:I74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85" customWidth="1"/>
    <col min="8" max="8" width="11.875" style="22" customWidth="1"/>
    <col min="9" max="9" width="10.00390625" style="22" customWidth="1"/>
    <col min="10" max="10" width="9.125" style="21" customWidth="1"/>
    <col min="11" max="13" width="10.00390625" style="21" bestFit="1" customWidth="1"/>
    <col min="14" max="16384" width="9.125" style="21" customWidth="1"/>
  </cols>
  <sheetData>
    <row r="1" spans="1:9" ht="12.75">
      <c r="A1" s="117" t="s">
        <v>102</v>
      </c>
      <c r="B1" s="117"/>
      <c r="C1" s="117"/>
      <c r="D1" s="117"/>
      <c r="E1" s="117"/>
      <c r="F1" s="117"/>
      <c r="G1" s="117"/>
      <c r="H1" s="117"/>
      <c r="I1" s="86"/>
    </row>
    <row r="2" spans="1:9" ht="12.75">
      <c r="A2" s="118" t="s">
        <v>188</v>
      </c>
      <c r="B2" s="118"/>
      <c r="C2" s="118"/>
      <c r="D2" s="118"/>
      <c r="E2" s="118"/>
      <c r="F2" s="118"/>
      <c r="G2" s="118"/>
      <c r="H2" s="118"/>
      <c r="I2" s="87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1"/>
    </row>
    <row r="4" spans="1:9" ht="45" customHeight="1">
      <c r="A4" s="4" t="s">
        <v>1</v>
      </c>
      <c r="B4" s="17" t="s">
        <v>2</v>
      </c>
      <c r="C4" s="17" t="s">
        <v>189</v>
      </c>
      <c r="D4" s="17" t="s">
        <v>68</v>
      </c>
      <c r="E4" s="17" t="s">
        <v>66</v>
      </c>
      <c r="F4" s="17" t="s">
        <v>69</v>
      </c>
      <c r="G4" s="101" t="s">
        <v>156</v>
      </c>
      <c r="H4" s="17" t="s">
        <v>65</v>
      </c>
      <c r="I4" s="17" t="s">
        <v>71</v>
      </c>
    </row>
    <row r="5" spans="1:9" ht="12.75">
      <c r="A5" s="88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ht="12.75">
      <c r="A6" s="119" t="s">
        <v>3</v>
      </c>
      <c r="B6" s="119"/>
      <c r="C6" s="119"/>
      <c r="D6" s="119"/>
      <c r="E6" s="119"/>
      <c r="F6" s="119"/>
      <c r="G6" s="119"/>
      <c r="H6" s="119"/>
      <c r="I6" s="120"/>
    </row>
    <row r="7" spans="1:9" ht="12.75">
      <c r="A7" s="46" t="s">
        <v>104</v>
      </c>
      <c r="B7" s="33">
        <f>B8+B17+B22+B27+B30+B38+B47+B48+B49+B53+B64</f>
        <v>743069.1900000001</v>
      </c>
      <c r="C7" s="33">
        <f>C8+C17+C22+C27+C30+C38+C47+C48+C49+C53+C64</f>
        <v>475811.55</v>
      </c>
      <c r="D7" s="33">
        <f>D8+D17+D22+D27+D30+D38+D47+D48+D49+D53+D64+D37</f>
        <v>509853.27999999997</v>
      </c>
      <c r="E7" s="25">
        <f>D7/B7*100</f>
        <v>68.6145095048282</v>
      </c>
      <c r="F7" s="25">
        <v>27699.089999999997</v>
      </c>
      <c r="G7" s="33">
        <v>497478.5</v>
      </c>
      <c r="H7" s="25">
        <f>C7/G7*100</f>
        <v>95.64464594952344</v>
      </c>
      <c r="I7" s="33">
        <f>D7-август!D7</f>
        <v>50367.83999999997</v>
      </c>
    </row>
    <row r="8" spans="1:9" ht="12.75">
      <c r="A8" s="47" t="s">
        <v>4</v>
      </c>
      <c r="B8" s="25">
        <f>B9+B10</f>
        <v>373116.60000000003</v>
      </c>
      <c r="C8" s="25">
        <f>C9+C10</f>
        <v>236212</v>
      </c>
      <c r="D8" s="25">
        <f>D9+D10</f>
        <v>269189.14999999997</v>
      </c>
      <c r="E8" s="25">
        <f aca="true" t="shared" si="0" ref="E8:E73">D8/B8*100</f>
        <v>72.14612000645373</v>
      </c>
      <c r="F8" s="25">
        <v>10645.39</v>
      </c>
      <c r="G8" s="25">
        <v>267481.2</v>
      </c>
      <c r="H8" s="25">
        <f aca="true" t="shared" si="1" ref="H8:H73">C8/G8*100</f>
        <v>88.30975784466347</v>
      </c>
      <c r="I8" s="33">
        <f>D8-август!D8</f>
        <v>33066.119999999966</v>
      </c>
    </row>
    <row r="9" spans="1:9" ht="25.5">
      <c r="A9" s="54" t="s">
        <v>5</v>
      </c>
      <c r="B9" s="27">
        <v>8631</v>
      </c>
      <c r="C9" s="27">
        <v>7631</v>
      </c>
      <c r="D9" s="27">
        <v>12864.18</v>
      </c>
      <c r="E9" s="27">
        <f t="shared" si="0"/>
        <v>149.0462287104623</v>
      </c>
      <c r="F9" s="25">
        <v>200.86</v>
      </c>
      <c r="G9" s="26">
        <v>5497.2</v>
      </c>
      <c r="H9" s="25">
        <f t="shared" si="1"/>
        <v>138.81612457250964</v>
      </c>
      <c r="I9" s="33">
        <f>D9-август!D9</f>
        <v>2220.7000000000007</v>
      </c>
    </row>
    <row r="10" spans="1:9" ht="12.75" customHeight="1">
      <c r="A10" s="54" t="s">
        <v>70</v>
      </c>
      <c r="B10" s="33">
        <f>SUM(B11:B16)</f>
        <v>364485.60000000003</v>
      </c>
      <c r="C10" s="33">
        <f>SUM(C11:C16)</f>
        <v>228581</v>
      </c>
      <c r="D10" s="33">
        <f>SUM(D11:D16)</f>
        <v>256324.96999999997</v>
      </c>
      <c r="E10" s="25">
        <f t="shared" si="0"/>
        <v>70.3251294426995</v>
      </c>
      <c r="F10" s="25">
        <v>10444.529999999999</v>
      </c>
      <c r="G10" s="42">
        <v>261984.1</v>
      </c>
      <c r="H10" s="25">
        <f t="shared" si="1"/>
        <v>87.24995142835003</v>
      </c>
      <c r="I10" s="33">
        <f>D10-август!D10</f>
        <v>30845.419999999984</v>
      </c>
    </row>
    <row r="11" spans="1:9" ht="51">
      <c r="A11" s="51" t="s">
        <v>74</v>
      </c>
      <c r="B11" s="27">
        <v>344651.2</v>
      </c>
      <c r="C11" s="27">
        <v>211500</v>
      </c>
      <c r="D11" s="27">
        <v>234416.77</v>
      </c>
      <c r="E11" s="27">
        <f t="shared" si="0"/>
        <v>68.0156546676756</v>
      </c>
      <c r="F11" s="27">
        <v>10058</v>
      </c>
      <c r="G11" s="27">
        <v>202914</v>
      </c>
      <c r="H11" s="25">
        <f t="shared" si="1"/>
        <v>104.2313492415506</v>
      </c>
      <c r="I11" s="33">
        <f>D11-август!D11</f>
        <v>29651.199999999983</v>
      </c>
    </row>
    <row r="12" spans="1:9" ht="51" customHeight="1">
      <c r="A12" s="51" t="s">
        <v>75</v>
      </c>
      <c r="B12" s="27">
        <v>1745</v>
      </c>
      <c r="C12" s="27">
        <v>1391</v>
      </c>
      <c r="D12" s="27">
        <v>2985.71</v>
      </c>
      <c r="E12" s="27">
        <f t="shared" si="0"/>
        <v>171.10085959885387</v>
      </c>
      <c r="F12" s="27">
        <v>81.56</v>
      </c>
      <c r="G12" s="27">
        <v>569.6</v>
      </c>
      <c r="H12" s="25">
        <f t="shared" si="1"/>
        <v>244.20646067415728</v>
      </c>
      <c r="I12" s="33">
        <f>D12-август!D12</f>
        <v>77.51999999999998</v>
      </c>
    </row>
    <row r="13" spans="1:9" ht="25.5">
      <c r="A13" s="51" t="s">
        <v>76</v>
      </c>
      <c r="B13" s="27">
        <v>5600.4</v>
      </c>
      <c r="C13" s="27">
        <v>4930</v>
      </c>
      <c r="D13" s="27">
        <v>4894.61</v>
      </c>
      <c r="E13" s="27">
        <f t="shared" si="0"/>
        <v>87.39750732090566</v>
      </c>
      <c r="F13" s="27">
        <v>117.15</v>
      </c>
      <c r="G13" s="27">
        <v>4416.5</v>
      </c>
      <c r="H13" s="25">
        <f t="shared" si="1"/>
        <v>111.62685384354127</v>
      </c>
      <c r="I13" s="33">
        <f>D13-август!D13</f>
        <v>381.6099999999997</v>
      </c>
    </row>
    <row r="14" spans="1:9" ht="63.75">
      <c r="A14" s="51" t="s">
        <v>78</v>
      </c>
      <c r="B14" s="27">
        <v>3850</v>
      </c>
      <c r="C14" s="27">
        <v>2960</v>
      </c>
      <c r="D14" s="27">
        <v>2756.43</v>
      </c>
      <c r="E14" s="27">
        <f t="shared" si="0"/>
        <v>71.59558441558441</v>
      </c>
      <c r="F14" s="27">
        <v>187.82</v>
      </c>
      <c r="G14" s="27">
        <v>2900.9</v>
      </c>
      <c r="H14" s="25">
        <f t="shared" si="1"/>
        <v>102.03729876934744</v>
      </c>
      <c r="I14" s="33">
        <f>D14-август!D14</f>
        <v>250.4699999999998</v>
      </c>
    </row>
    <row r="15" spans="1:9" ht="37.5" customHeight="1">
      <c r="A15" s="51" t="s">
        <v>145</v>
      </c>
      <c r="B15" s="27">
        <v>8639</v>
      </c>
      <c r="C15" s="27">
        <v>7800</v>
      </c>
      <c r="D15" s="27">
        <v>8394.66</v>
      </c>
      <c r="E15" s="27">
        <f t="shared" si="0"/>
        <v>97.17166338696607</v>
      </c>
      <c r="F15" s="27"/>
      <c r="G15" s="34">
        <v>51183.1</v>
      </c>
      <c r="H15" s="25">
        <f t="shared" si="1"/>
        <v>15.23940519429265</v>
      </c>
      <c r="I15" s="33">
        <f>D15-август!D15</f>
        <v>208.19999999999982</v>
      </c>
    </row>
    <row r="16" spans="1:9" ht="53.25" customHeight="1">
      <c r="A16" s="51" t="s">
        <v>164</v>
      </c>
      <c r="B16" s="27">
        <v>0</v>
      </c>
      <c r="C16" s="27">
        <v>0</v>
      </c>
      <c r="D16" s="27">
        <v>2876.79</v>
      </c>
      <c r="E16" s="27">
        <v>0</v>
      </c>
      <c r="F16" s="27"/>
      <c r="G16" s="33">
        <v>0</v>
      </c>
      <c r="H16" s="25">
        <v>0</v>
      </c>
      <c r="I16" s="33">
        <f>D16-август!D16</f>
        <v>276.4200000000001</v>
      </c>
    </row>
    <row r="17" spans="1:9" ht="39.75" customHeight="1">
      <c r="A17" s="53" t="s">
        <v>82</v>
      </c>
      <c r="B17" s="26">
        <f>SUM(B18:B21)</f>
        <v>59089.46000000001</v>
      </c>
      <c r="C17" s="26">
        <f>SUM(C18:C21)</f>
        <v>45910</v>
      </c>
      <c r="D17" s="26">
        <f>SUM(D18:D21)</f>
        <v>49758.85999999999</v>
      </c>
      <c r="E17" s="25">
        <f t="shared" si="0"/>
        <v>84.20936661123658</v>
      </c>
      <c r="F17" s="25">
        <v>1853.18</v>
      </c>
      <c r="G17" s="26">
        <v>47818.1</v>
      </c>
      <c r="H17" s="25">
        <f t="shared" si="1"/>
        <v>96.00966997852278</v>
      </c>
      <c r="I17" s="33">
        <f>D17-август!D17</f>
        <v>5790.419999999998</v>
      </c>
    </row>
    <row r="18" spans="1:9" ht="37.5" customHeight="1">
      <c r="A18" s="37" t="s">
        <v>83</v>
      </c>
      <c r="B18" s="27">
        <v>27987.73</v>
      </c>
      <c r="C18" s="27">
        <v>21245</v>
      </c>
      <c r="D18" s="27">
        <v>25488.32</v>
      </c>
      <c r="E18" s="27">
        <f t="shared" si="0"/>
        <v>91.06962229519866</v>
      </c>
      <c r="F18" s="27">
        <v>844.23</v>
      </c>
      <c r="G18" s="34">
        <v>23380.7</v>
      </c>
      <c r="H18" s="25">
        <f t="shared" si="1"/>
        <v>90.86554294781594</v>
      </c>
      <c r="I18" s="33">
        <f>D18-август!D18</f>
        <v>2925.59</v>
      </c>
    </row>
    <row r="19" spans="1:9" ht="56.25" customHeight="1">
      <c r="A19" s="37" t="s">
        <v>84</v>
      </c>
      <c r="B19" s="27">
        <v>194.4</v>
      </c>
      <c r="C19" s="27">
        <v>135</v>
      </c>
      <c r="D19" s="27">
        <v>137.34</v>
      </c>
      <c r="E19" s="27">
        <f t="shared" si="0"/>
        <v>70.64814814814815</v>
      </c>
      <c r="F19" s="27">
        <v>5.74</v>
      </c>
      <c r="G19" s="34">
        <v>132.3</v>
      </c>
      <c r="H19" s="25">
        <f t="shared" si="1"/>
        <v>102.04081632653062</v>
      </c>
      <c r="I19" s="33">
        <f>D19-август!D19</f>
        <v>17.22</v>
      </c>
    </row>
    <row r="20" spans="1:9" ht="55.5" customHeight="1">
      <c r="A20" s="37" t="s">
        <v>85</v>
      </c>
      <c r="B20" s="27">
        <v>34598.53</v>
      </c>
      <c r="C20" s="27">
        <v>27150</v>
      </c>
      <c r="D20" s="27">
        <v>27123.68</v>
      </c>
      <c r="E20" s="27">
        <f t="shared" si="0"/>
        <v>78.39546940289081</v>
      </c>
      <c r="F20" s="27">
        <v>1158.41</v>
      </c>
      <c r="G20" s="34">
        <v>26915.1</v>
      </c>
      <c r="H20" s="25">
        <f t="shared" si="1"/>
        <v>100.87274429595283</v>
      </c>
      <c r="I20" s="33">
        <f>D20-август!D20</f>
        <v>3194.380000000001</v>
      </c>
    </row>
    <row r="21" spans="1:9" ht="15.75" customHeight="1">
      <c r="A21" s="37" t="s">
        <v>86</v>
      </c>
      <c r="B21" s="27">
        <v>-3691.2</v>
      </c>
      <c r="C21" s="27">
        <v>-2620</v>
      </c>
      <c r="D21" s="27">
        <v>-2990.48</v>
      </c>
      <c r="E21" s="27">
        <f t="shared" si="0"/>
        <v>81.01647160814912</v>
      </c>
      <c r="F21" s="27">
        <v>-155.2</v>
      </c>
      <c r="G21" s="34">
        <v>-2610</v>
      </c>
      <c r="H21" s="25">
        <f t="shared" si="1"/>
        <v>100.38314176245211</v>
      </c>
      <c r="I21" s="33">
        <f>D21-август!D21</f>
        <v>-346.77</v>
      </c>
    </row>
    <row r="22" spans="1:9" ht="12.75">
      <c r="A22" s="54" t="s">
        <v>7</v>
      </c>
      <c r="B22" s="26">
        <f>SUM(B23:B26)</f>
        <v>148961.30000000002</v>
      </c>
      <c r="C22" s="26">
        <f>SUM(C23:C26)</f>
        <v>112315</v>
      </c>
      <c r="D22" s="26">
        <f>SUM(D23:D26)</f>
        <v>109820.84</v>
      </c>
      <c r="E22" s="25">
        <f t="shared" si="0"/>
        <v>73.72441029985639</v>
      </c>
      <c r="F22" s="25">
        <v>7362.96</v>
      </c>
      <c r="G22" s="26">
        <v>98548.1</v>
      </c>
      <c r="H22" s="25">
        <f t="shared" si="1"/>
        <v>113.96972645845022</v>
      </c>
      <c r="I22" s="33">
        <f>D22-август!D22</f>
        <v>2649.5499999999884</v>
      </c>
    </row>
    <row r="23" spans="1:9" ht="28.5" customHeight="1">
      <c r="A23" s="51" t="s">
        <v>146</v>
      </c>
      <c r="B23" s="27">
        <v>116885.1</v>
      </c>
      <c r="C23" s="27">
        <v>89900</v>
      </c>
      <c r="D23" s="27">
        <v>93170.59</v>
      </c>
      <c r="E23" s="27">
        <f t="shared" si="0"/>
        <v>79.71126345445228</v>
      </c>
      <c r="F23" s="27"/>
      <c r="G23" s="27">
        <v>79660.3</v>
      </c>
      <c r="H23" s="25">
        <f t="shared" si="1"/>
        <v>112.8542071772263</v>
      </c>
      <c r="I23" s="33">
        <f>D23-август!D23</f>
        <v>1824.5699999999924</v>
      </c>
    </row>
    <row r="24" spans="1:9" ht="19.5" customHeight="1">
      <c r="A24" s="51" t="s">
        <v>89</v>
      </c>
      <c r="B24" s="27">
        <v>0</v>
      </c>
      <c r="C24" s="27">
        <v>0</v>
      </c>
      <c r="D24" s="27">
        <v>-607.69</v>
      </c>
      <c r="E24" s="27" t="s">
        <v>148</v>
      </c>
      <c r="F24" s="27">
        <v>7198.75</v>
      </c>
      <c r="G24" s="27">
        <v>185.2</v>
      </c>
      <c r="H24" s="25">
        <f t="shared" si="1"/>
        <v>0</v>
      </c>
      <c r="I24" s="33">
        <f>D24-август!D24</f>
        <v>19.079999999999927</v>
      </c>
    </row>
    <row r="25" spans="1:9" ht="15" customHeight="1">
      <c r="A25" s="51" t="s">
        <v>87</v>
      </c>
      <c r="B25" s="27">
        <v>715</v>
      </c>
      <c r="C25" s="27">
        <v>715</v>
      </c>
      <c r="D25" s="27">
        <v>430.2</v>
      </c>
      <c r="E25" s="27">
        <f t="shared" si="0"/>
        <v>60.16783216783217</v>
      </c>
      <c r="F25" s="27">
        <v>113.58</v>
      </c>
      <c r="G25" s="34">
        <v>297</v>
      </c>
      <c r="H25" s="25">
        <f t="shared" si="1"/>
        <v>240.74074074074073</v>
      </c>
      <c r="I25" s="33">
        <f>D25-август!D25</f>
        <v>-10.430000000000007</v>
      </c>
    </row>
    <row r="26" spans="1:9" ht="27" customHeight="1">
      <c r="A26" s="51" t="s">
        <v>88</v>
      </c>
      <c r="B26" s="27">
        <v>31361.2</v>
      </c>
      <c r="C26" s="27">
        <v>21700</v>
      </c>
      <c r="D26" s="27">
        <v>16827.74</v>
      </c>
      <c r="E26" s="27">
        <f t="shared" si="0"/>
        <v>53.65783197071541</v>
      </c>
      <c r="F26" s="27">
        <v>50.63</v>
      </c>
      <c r="G26" s="27">
        <v>18405.6</v>
      </c>
      <c r="H26" s="25">
        <f t="shared" si="1"/>
        <v>117.89890033468076</v>
      </c>
      <c r="I26" s="33">
        <f>D26-август!D26</f>
        <v>816.3300000000017</v>
      </c>
    </row>
    <row r="27" spans="1:9" ht="12.75">
      <c r="A27" s="54" t="s">
        <v>8</v>
      </c>
      <c r="B27" s="26">
        <f>SUM(B28:B29)</f>
        <v>42454.6</v>
      </c>
      <c r="C27" s="26">
        <f>SUM(C28:C29)</f>
        <v>14300</v>
      </c>
      <c r="D27" s="26">
        <f>SUM(D28:D29)</f>
        <v>13009.8</v>
      </c>
      <c r="E27" s="25">
        <f t="shared" si="0"/>
        <v>30.644029151140277</v>
      </c>
      <c r="F27" s="25">
        <v>2465.82</v>
      </c>
      <c r="G27" s="26">
        <v>14550.8</v>
      </c>
      <c r="H27" s="25">
        <f t="shared" si="1"/>
        <v>98.27638342908982</v>
      </c>
      <c r="I27" s="33">
        <f>D27-август!D27</f>
        <v>1702.7399999999998</v>
      </c>
    </row>
    <row r="28" spans="1:9" ht="12.75">
      <c r="A28" s="51" t="s">
        <v>106</v>
      </c>
      <c r="B28" s="27">
        <v>24668.5</v>
      </c>
      <c r="C28" s="27">
        <v>5750</v>
      </c>
      <c r="D28" s="27">
        <v>5604.4</v>
      </c>
      <c r="E28" s="27">
        <f t="shared" si="0"/>
        <v>22.71885197721791</v>
      </c>
      <c r="F28" s="27">
        <v>536.1</v>
      </c>
      <c r="G28" s="34">
        <v>5948.5</v>
      </c>
      <c r="H28" s="25">
        <f t="shared" si="1"/>
        <v>96.66302429183827</v>
      </c>
      <c r="I28" s="33">
        <f>D28-август!D28</f>
        <v>2305.8199999999997</v>
      </c>
    </row>
    <row r="29" spans="1:9" ht="12.75">
      <c r="A29" s="51" t="s">
        <v>107</v>
      </c>
      <c r="B29" s="27">
        <v>17786.1</v>
      </c>
      <c r="C29" s="27">
        <v>8550</v>
      </c>
      <c r="D29" s="27">
        <v>7405.4</v>
      </c>
      <c r="E29" s="27">
        <f t="shared" si="0"/>
        <v>41.63588420170808</v>
      </c>
      <c r="F29" s="27">
        <v>1929.72</v>
      </c>
      <c r="G29" s="27">
        <v>8602.3</v>
      </c>
      <c r="H29" s="25">
        <f t="shared" si="1"/>
        <v>99.39202306359928</v>
      </c>
      <c r="I29" s="33">
        <f>D29-август!D29</f>
        <v>-603.0799999999999</v>
      </c>
    </row>
    <row r="30" spans="1:9" ht="12.75">
      <c r="A30" s="47" t="s">
        <v>9</v>
      </c>
      <c r="B30" s="26">
        <f>SUM(B31:B33)</f>
        <v>15600</v>
      </c>
      <c r="C30" s="26">
        <f>SUM(C31:C33)</f>
        <v>12035</v>
      </c>
      <c r="D30" s="26">
        <f>SUM(D31:D33)</f>
        <v>13687.5</v>
      </c>
      <c r="E30" s="26">
        <f t="shared" si="0"/>
        <v>87.74038461538461</v>
      </c>
      <c r="F30" s="26">
        <v>793.07</v>
      </c>
      <c r="G30" s="26">
        <v>12618.5</v>
      </c>
      <c r="H30" s="25">
        <f t="shared" si="1"/>
        <v>95.37583706462733</v>
      </c>
      <c r="I30" s="33">
        <f>D30-август!D30</f>
        <v>1338.0699999999997</v>
      </c>
    </row>
    <row r="31" spans="1:9" ht="25.5">
      <c r="A31" s="51" t="s">
        <v>10</v>
      </c>
      <c r="B31" s="27">
        <v>15550</v>
      </c>
      <c r="C31" s="27">
        <v>12000</v>
      </c>
      <c r="D31" s="27">
        <v>13662.5</v>
      </c>
      <c r="E31" s="27">
        <f t="shared" si="0"/>
        <v>87.86173633440515</v>
      </c>
      <c r="F31" s="27">
        <v>793.07</v>
      </c>
      <c r="G31" s="27">
        <v>12512.3</v>
      </c>
      <c r="H31" s="25">
        <f t="shared" si="1"/>
        <v>95.90562886120058</v>
      </c>
      <c r="I31" s="33">
        <f>D31-август!D31</f>
        <v>1338.0699999999997</v>
      </c>
    </row>
    <row r="32" spans="1:9" ht="25.5">
      <c r="A32" s="51" t="s">
        <v>91</v>
      </c>
      <c r="B32" s="27">
        <v>0</v>
      </c>
      <c r="C32" s="27">
        <v>0</v>
      </c>
      <c r="D32" s="27">
        <v>0</v>
      </c>
      <c r="E32" s="27" t="s">
        <v>148</v>
      </c>
      <c r="F32" s="27">
        <v>0</v>
      </c>
      <c r="G32" s="107">
        <v>51.2</v>
      </c>
      <c r="H32" s="25">
        <f t="shared" si="1"/>
        <v>0</v>
      </c>
      <c r="I32" s="33">
        <f>D32-август!D32</f>
        <v>0</v>
      </c>
    </row>
    <row r="33" spans="1:9" ht="25.5">
      <c r="A33" s="51" t="s">
        <v>90</v>
      </c>
      <c r="B33" s="27">
        <v>50</v>
      </c>
      <c r="C33" s="27">
        <v>35</v>
      </c>
      <c r="D33" s="27">
        <v>25</v>
      </c>
      <c r="E33" s="27">
        <f t="shared" si="0"/>
        <v>50</v>
      </c>
      <c r="F33" s="27">
        <v>0</v>
      </c>
      <c r="G33" s="107">
        <v>55</v>
      </c>
      <c r="H33" s="25">
        <f t="shared" si="1"/>
        <v>63.63636363636363</v>
      </c>
      <c r="I33" s="33">
        <f>D33-август!D33</f>
        <v>0</v>
      </c>
    </row>
    <row r="34" spans="1:9" ht="25.5" hidden="1">
      <c r="A34" s="54" t="s">
        <v>11</v>
      </c>
      <c r="B34" s="27">
        <v>0</v>
      </c>
      <c r="C34" s="27">
        <v>0</v>
      </c>
      <c r="D34" s="27">
        <v>0.02</v>
      </c>
      <c r="E34" s="25" t="e">
        <f t="shared" si="0"/>
        <v>#DIV/0!</v>
      </c>
      <c r="F34" s="25">
        <v>0</v>
      </c>
      <c r="G34" s="27">
        <v>0.02</v>
      </c>
      <c r="H34" s="25">
        <f t="shared" si="1"/>
        <v>0</v>
      </c>
      <c r="I34" s="33">
        <f>D34-август!D34</f>
        <v>0</v>
      </c>
    </row>
    <row r="35" spans="1:9" ht="25.5" hidden="1">
      <c r="A35" s="51" t="s">
        <v>116</v>
      </c>
      <c r="B35" s="33">
        <v>0</v>
      </c>
      <c r="C35" s="33">
        <v>0</v>
      </c>
      <c r="D35" s="33">
        <v>0.02</v>
      </c>
      <c r="E35" s="25" t="e">
        <f t="shared" si="0"/>
        <v>#DIV/0!</v>
      </c>
      <c r="F35" s="25">
        <v>0</v>
      </c>
      <c r="G35" s="33">
        <v>0.02</v>
      </c>
      <c r="H35" s="25">
        <f t="shared" si="1"/>
        <v>0</v>
      </c>
      <c r="I35" s="33">
        <f>D35-август!D35</f>
        <v>0</v>
      </c>
    </row>
    <row r="36" spans="1:9" ht="25.5" hidden="1">
      <c r="A36" s="51" t="s">
        <v>92</v>
      </c>
      <c r="B36" s="27">
        <v>0</v>
      </c>
      <c r="C36" s="27">
        <v>0</v>
      </c>
      <c r="D36" s="27">
        <v>0</v>
      </c>
      <c r="E36" s="25" t="e">
        <f t="shared" si="0"/>
        <v>#DIV/0!</v>
      </c>
      <c r="F36" s="25">
        <v>0</v>
      </c>
      <c r="G36" s="27">
        <v>0</v>
      </c>
      <c r="H36" s="25" t="e">
        <f t="shared" si="1"/>
        <v>#DIV/0!</v>
      </c>
      <c r="I36" s="33">
        <f>D36-август!D36</f>
        <v>0</v>
      </c>
    </row>
    <row r="37" spans="1:9" ht="38.25">
      <c r="A37" s="54" t="s">
        <v>150</v>
      </c>
      <c r="B37" s="27">
        <v>0</v>
      </c>
      <c r="C37" s="27">
        <v>0</v>
      </c>
      <c r="D37" s="27">
        <v>-8.11</v>
      </c>
      <c r="E37" s="25">
        <v>0</v>
      </c>
      <c r="F37" s="25"/>
      <c r="G37" s="26">
        <v>0</v>
      </c>
      <c r="H37" s="25">
        <v>0</v>
      </c>
      <c r="I37" s="33">
        <f>D37-август!D37</f>
        <v>0</v>
      </c>
    </row>
    <row r="38" spans="1:9" ht="39.75" customHeight="1">
      <c r="A38" s="54" t="s">
        <v>12</v>
      </c>
      <c r="B38" s="26">
        <f>SUM(B40:B46)</f>
        <v>57702.52</v>
      </c>
      <c r="C38" s="26">
        <f>SUM(C40:C46)</f>
        <v>43655.29</v>
      </c>
      <c r="D38" s="26">
        <f>SUM(D40:D46)</f>
        <v>39503.86</v>
      </c>
      <c r="E38" s="26">
        <f t="shared" si="0"/>
        <v>68.46123878125255</v>
      </c>
      <c r="F38" s="26">
        <v>3247.05</v>
      </c>
      <c r="G38" s="26">
        <v>38568.2</v>
      </c>
      <c r="H38" s="25">
        <f t="shared" si="1"/>
        <v>113.18985589164132</v>
      </c>
      <c r="I38" s="33">
        <f>D38-август!D38</f>
        <v>3814.060000000005</v>
      </c>
    </row>
    <row r="39" spans="1:9" ht="81.75" customHeight="1" hidden="1">
      <c r="A39" s="51" t="s">
        <v>114</v>
      </c>
      <c r="B39" s="27"/>
      <c r="C39" s="27"/>
      <c r="D39" s="27"/>
      <c r="E39" s="25" t="e">
        <f t="shared" si="0"/>
        <v>#DIV/0!</v>
      </c>
      <c r="F39" s="25"/>
      <c r="G39" s="27"/>
      <c r="H39" s="25" t="e">
        <f t="shared" si="1"/>
        <v>#DIV/0!</v>
      </c>
      <c r="I39" s="33">
        <f>D39-август!D39</f>
        <v>0</v>
      </c>
    </row>
    <row r="40" spans="1:9" ht="76.5">
      <c r="A40" s="51" t="s">
        <v>117</v>
      </c>
      <c r="B40" s="27">
        <v>29271.18</v>
      </c>
      <c r="C40" s="27">
        <v>21953.43</v>
      </c>
      <c r="D40" s="27">
        <v>19882.03</v>
      </c>
      <c r="E40" s="27">
        <f t="shared" si="0"/>
        <v>67.92356850663349</v>
      </c>
      <c r="F40" s="27">
        <v>2393.3</v>
      </c>
      <c r="G40" s="34">
        <v>21672.9</v>
      </c>
      <c r="H40" s="25">
        <f t="shared" si="1"/>
        <v>101.29438146256385</v>
      </c>
      <c r="I40" s="33">
        <f>D40-август!D40</f>
        <v>1891.2999999999993</v>
      </c>
    </row>
    <row r="41" spans="1:9" ht="76.5">
      <c r="A41" s="51" t="s">
        <v>125</v>
      </c>
      <c r="B41" s="27">
        <v>5434.31</v>
      </c>
      <c r="C41" s="27">
        <v>4075.74</v>
      </c>
      <c r="D41" s="27">
        <v>4291.64</v>
      </c>
      <c r="E41" s="27">
        <f t="shared" si="0"/>
        <v>78.9730434958624</v>
      </c>
      <c r="F41" s="27">
        <v>75.44</v>
      </c>
      <c r="G41" s="34">
        <v>2972.8</v>
      </c>
      <c r="H41" s="25">
        <f t="shared" si="1"/>
        <v>137.10104951560817</v>
      </c>
      <c r="I41" s="33">
        <f>D41-август!D41</f>
        <v>140.27000000000044</v>
      </c>
    </row>
    <row r="42" spans="1:9" ht="76.5">
      <c r="A42" s="51" t="s">
        <v>118</v>
      </c>
      <c r="B42" s="27">
        <v>515.73</v>
      </c>
      <c r="C42" s="27">
        <v>382.47</v>
      </c>
      <c r="D42" s="27">
        <v>597.79</v>
      </c>
      <c r="E42" s="27">
        <f t="shared" si="0"/>
        <v>115.91142652162954</v>
      </c>
      <c r="F42" s="27">
        <v>3.43</v>
      </c>
      <c r="G42" s="34">
        <v>364.4</v>
      </c>
      <c r="H42" s="25">
        <f t="shared" si="1"/>
        <v>104.95883644346873</v>
      </c>
      <c r="I42" s="33">
        <f>D42-август!D42</f>
        <v>46.620000000000005</v>
      </c>
    </row>
    <row r="43" spans="1:9" ht="38.25">
      <c r="A43" s="51" t="s">
        <v>119</v>
      </c>
      <c r="B43" s="27">
        <v>17384.33</v>
      </c>
      <c r="C43" s="27">
        <v>13038.21</v>
      </c>
      <c r="D43" s="27">
        <v>10824.53</v>
      </c>
      <c r="E43" s="27">
        <f t="shared" si="0"/>
        <v>62.26601772976007</v>
      </c>
      <c r="F43" s="27">
        <v>538.73</v>
      </c>
      <c r="G43" s="34">
        <v>10617.4</v>
      </c>
      <c r="H43" s="25">
        <f t="shared" si="1"/>
        <v>122.80040311187297</v>
      </c>
      <c r="I43" s="33">
        <f>D43-август!D43</f>
        <v>966.2399999999998</v>
      </c>
    </row>
    <row r="44" spans="1:9" ht="44.25" customHeight="1">
      <c r="A44" s="51" t="s">
        <v>147</v>
      </c>
      <c r="B44" s="27">
        <v>62.2</v>
      </c>
      <c r="C44" s="27">
        <v>46.62</v>
      </c>
      <c r="D44" s="27">
        <v>77.77</v>
      </c>
      <c r="E44" s="27">
        <f t="shared" si="0"/>
        <v>125.03215434083602</v>
      </c>
      <c r="F44" s="27"/>
      <c r="G44" s="34">
        <v>60.5</v>
      </c>
      <c r="H44" s="25" t="s">
        <v>148</v>
      </c>
      <c r="I44" s="33">
        <f>D44-август!D44</f>
        <v>60.53999999999999</v>
      </c>
    </row>
    <row r="45" spans="1:9" ht="51">
      <c r="A45" s="51" t="s">
        <v>120</v>
      </c>
      <c r="B45" s="27">
        <v>1531</v>
      </c>
      <c r="C45" s="27">
        <v>1531</v>
      </c>
      <c r="D45" s="27">
        <v>1251.37</v>
      </c>
      <c r="E45" s="27">
        <f t="shared" si="0"/>
        <v>81.73546701502286</v>
      </c>
      <c r="F45" s="27">
        <v>0</v>
      </c>
      <c r="G45" s="34">
        <v>477.6</v>
      </c>
      <c r="H45" s="25" t="s">
        <v>148</v>
      </c>
      <c r="I45" s="33">
        <f>D45-август!D45</f>
        <v>0</v>
      </c>
    </row>
    <row r="46" spans="1:9" ht="76.5">
      <c r="A46" s="51" t="s">
        <v>121</v>
      </c>
      <c r="B46" s="27">
        <v>3503.77</v>
      </c>
      <c r="C46" s="27">
        <v>2627.82</v>
      </c>
      <c r="D46" s="27">
        <v>2578.73</v>
      </c>
      <c r="E46" s="27">
        <f t="shared" si="0"/>
        <v>73.59872366051424</v>
      </c>
      <c r="F46" s="27">
        <v>236.15</v>
      </c>
      <c r="G46" s="27">
        <v>2402.6</v>
      </c>
      <c r="H46" s="25">
        <f t="shared" si="1"/>
        <v>109.37401148755517</v>
      </c>
      <c r="I46" s="33">
        <f>D46-август!D46</f>
        <v>709.0899999999999</v>
      </c>
    </row>
    <row r="47" spans="1:9" ht="27" customHeight="1">
      <c r="A47" s="54" t="s">
        <v>13</v>
      </c>
      <c r="B47" s="33">
        <v>598.72</v>
      </c>
      <c r="C47" s="33">
        <v>421.2</v>
      </c>
      <c r="D47" s="33">
        <v>3616.7</v>
      </c>
      <c r="E47" s="33">
        <f t="shared" si="0"/>
        <v>604.0720203099946</v>
      </c>
      <c r="F47" s="33">
        <v>43.6</v>
      </c>
      <c r="G47" s="26">
        <v>561.3</v>
      </c>
      <c r="H47" s="33">
        <f t="shared" si="1"/>
        <v>75.04008551576698</v>
      </c>
      <c r="I47" s="33">
        <f>D47-август!D47</f>
        <v>603.8899999999999</v>
      </c>
    </row>
    <row r="48" spans="1:9" ht="25.5">
      <c r="A48" s="54" t="s">
        <v>96</v>
      </c>
      <c r="B48" s="33">
        <v>1290.36</v>
      </c>
      <c r="C48" s="33">
        <v>962.8</v>
      </c>
      <c r="D48" s="33">
        <v>2179.2</v>
      </c>
      <c r="E48" s="33">
        <f t="shared" si="0"/>
        <v>168.88310239003067</v>
      </c>
      <c r="F48" s="33">
        <v>561.58</v>
      </c>
      <c r="G48" s="26">
        <v>9928.6</v>
      </c>
      <c r="H48" s="33">
        <f t="shared" si="1"/>
        <v>9.697238281328687</v>
      </c>
      <c r="I48" s="33">
        <f>D48-август!D48</f>
        <v>290.77999999999975</v>
      </c>
    </row>
    <row r="49" spans="1:9" ht="25.5">
      <c r="A49" s="54" t="s">
        <v>14</v>
      </c>
      <c r="B49" s="33">
        <f>SUM(B50:B52)</f>
        <v>46800</v>
      </c>
      <c r="C49" s="33">
        <f>SUM(C50:C52)</f>
        <v>13250</v>
      </c>
      <c r="D49" s="33">
        <f>SUM(D50:D52)</f>
        <v>4598.6</v>
      </c>
      <c r="E49" s="25">
        <f t="shared" si="0"/>
        <v>9.826068376068378</v>
      </c>
      <c r="F49" s="25">
        <v>585.5</v>
      </c>
      <c r="G49" s="33">
        <v>2503</v>
      </c>
      <c r="H49" s="25">
        <f t="shared" si="1"/>
        <v>529.3647622852577</v>
      </c>
      <c r="I49" s="33">
        <f>D49-август!D49</f>
        <v>68.89000000000033</v>
      </c>
    </row>
    <row r="50" spans="1:9" ht="12.75">
      <c r="A50" s="51" t="s">
        <v>94</v>
      </c>
      <c r="B50" s="27">
        <v>0</v>
      </c>
      <c r="C50" s="27">
        <v>0</v>
      </c>
      <c r="D50" s="27">
        <v>0</v>
      </c>
      <c r="E50" s="25">
        <v>0</v>
      </c>
      <c r="F50" s="25">
        <v>0</v>
      </c>
      <c r="G50" s="27">
        <v>0</v>
      </c>
      <c r="H50" s="25" t="s">
        <v>148</v>
      </c>
      <c r="I50" s="33">
        <f>D50-август!D50</f>
        <v>0</v>
      </c>
    </row>
    <row r="51" spans="1:9" ht="76.5">
      <c r="A51" s="51" t="s">
        <v>95</v>
      </c>
      <c r="B51" s="27">
        <v>45400</v>
      </c>
      <c r="C51" s="27">
        <v>12900</v>
      </c>
      <c r="D51" s="27">
        <v>0</v>
      </c>
      <c r="E51" s="25">
        <f t="shared" si="0"/>
        <v>0</v>
      </c>
      <c r="F51" s="25">
        <v>37.14</v>
      </c>
      <c r="G51" s="83">
        <v>0</v>
      </c>
      <c r="H51" s="25" t="s">
        <v>148</v>
      </c>
      <c r="I51" s="33">
        <f>D51-август!D51</f>
        <v>0</v>
      </c>
    </row>
    <row r="52" spans="1:9" ht="17.25" customHeight="1">
      <c r="A52" s="51" t="s">
        <v>93</v>
      </c>
      <c r="B52" s="27">
        <v>1400</v>
      </c>
      <c r="C52" s="27">
        <v>350</v>
      </c>
      <c r="D52" s="27">
        <v>4598.6</v>
      </c>
      <c r="E52" s="27">
        <f t="shared" si="0"/>
        <v>328.4714285714286</v>
      </c>
      <c r="F52" s="27">
        <v>548.36</v>
      </c>
      <c r="G52" s="27">
        <v>2503</v>
      </c>
      <c r="H52" s="25">
        <f t="shared" si="1"/>
        <v>13.983220135836996</v>
      </c>
      <c r="I52" s="33">
        <f>D52-август!D52</f>
        <v>68.89000000000033</v>
      </c>
    </row>
    <row r="53" spans="1:9" ht="12.75">
      <c r="A53" s="54" t="s">
        <v>15</v>
      </c>
      <c r="B53" s="33">
        <v>-1455.1</v>
      </c>
      <c r="C53" s="33">
        <v>-2157.54</v>
      </c>
      <c r="D53" s="33">
        <v>-1949.27</v>
      </c>
      <c r="E53" s="26">
        <f t="shared" si="0"/>
        <v>133.9612397773349</v>
      </c>
      <c r="F53" s="26">
        <v>179.73</v>
      </c>
      <c r="G53" s="26">
        <v>4874</v>
      </c>
      <c r="H53" s="25">
        <f t="shared" si="1"/>
        <v>-44.26631103816167</v>
      </c>
      <c r="I53" s="33">
        <f>D53-август!D53</f>
        <v>316.44000000000005</v>
      </c>
    </row>
    <row r="54" spans="1:9" ht="63.75" hidden="1">
      <c r="A54" s="51" t="s">
        <v>126</v>
      </c>
      <c r="B54" s="33">
        <v>223.07</v>
      </c>
      <c r="C54" s="33">
        <v>20</v>
      </c>
      <c r="D54" s="33"/>
      <c r="E54" s="26">
        <f t="shared" si="0"/>
        <v>0</v>
      </c>
      <c r="F54" s="26"/>
      <c r="G54" s="26"/>
      <c r="H54" s="25" t="e">
        <f t="shared" si="1"/>
        <v>#DIV/0!</v>
      </c>
      <c r="I54" s="33">
        <f>D54-август!D54</f>
        <v>0</v>
      </c>
    </row>
    <row r="55" spans="1:9" ht="89.25" hidden="1">
      <c r="A55" s="51" t="s">
        <v>127</v>
      </c>
      <c r="B55" s="33">
        <v>223.07</v>
      </c>
      <c r="C55" s="33">
        <v>20</v>
      </c>
      <c r="D55" s="33"/>
      <c r="E55" s="26">
        <f t="shared" si="0"/>
        <v>0</v>
      </c>
      <c r="F55" s="26"/>
      <c r="G55" s="26"/>
      <c r="H55" s="25" t="e">
        <f t="shared" si="1"/>
        <v>#DIV/0!</v>
      </c>
      <c r="I55" s="33">
        <f>D55-август!D55</f>
        <v>0</v>
      </c>
    </row>
    <row r="56" spans="1:9" ht="63.75" hidden="1">
      <c r="A56" s="51" t="s">
        <v>128</v>
      </c>
      <c r="B56" s="33">
        <v>223.07</v>
      </c>
      <c r="C56" s="33">
        <v>20</v>
      </c>
      <c r="D56" s="33"/>
      <c r="E56" s="26">
        <f t="shared" si="0"/>
        <v>0</v>
      </c>
      <c r="F56" s="26"/>
      <c r="G56" s="26"/>
      <c r="H56" s="25" t="e">
        <f t="shared" si="1"/>
        <v>#DIV/0!</v>
      </c>
      <c r="I56" s="33">
        <f>D56-август!D56</f>
        <v>0</v>
      </c>
    </row>
    <row r="57" spans="1:9" ht="29.25" customHeight="1" hidden="1">
      <c r="A57" s="51" t="s">
        <v>129</v>
      </c>
      <c r="B57" s="33">
        <v>223.07</v>
      </c>
      <c r="C57" s="33">
        <v>20</v>
      </c>
      <c r="D57" s="33"/>
      <c r="E57" s="26">
        <f t="shared" si="0"/>
        <v>0</v>
      </c>
      <c r="F57" s="26"/>
      <c r="G57" s="26"/>
      <c r="H57" s="25" t="e">
        <f t="shared" si="1"/>
        <v>#DIV/0!</v>
      </c>
      <c r="I57" s="33">
        <f>D57-август!D57</f>
        <v>0</v>
      </c>
    </row>
    <row r="58" spans="1:9" ht="38.25" customHeight="1" hidden="1">
      <c r="A58" s="51" t="s">
        <v>130</v>
      </c>
      <c r="B58" s="33">
        <v>223.07</v>
      </c>
      <c r="C58" s="33">
        <v>20</v>
      </c>
      <c r="D58" s="33"/>
      <c r="E58" s="26">
        <f t="shared" si="0"/>
        <v>0</v>
      </c>
      <c r="F58" s="26"/>
      <c r="G58" s="26"/>
      <c r="H58" s="25" t="e">
        <f t="shared" si="1"/>
        <v>#DIV/0!</v>
      </c>
      <c r="I58" s="33">
        <f>D58-август!D58</f>
        <v>0</v>
      </c>
    </row>
    <row r="59" spans="1:9" ht="43.5" customHeight="1" hidden="1">
      <c r="A59" s="51" t="s">
        <v>131</v>
      </c>
      <c r="B59" s="33">
        <v>223.07</v>
      </c>
      <c r="C59" s="33">
        <v>20</v>
      </c>
      <c r="D59" s="33"/>
      <c r="E59" s="26">
        <f t="shared" si="0"/>
        <v>0</v>
      </c>
      <c r="F59" s="26"/>
      <c r="G59" s="26"/>
      <c r="H59" s="25" t="e">
        <f t="shared" si="1"/>
        <v>#DIV/0!</v>
      </c>
      <c r="I59" s="33">
        <f>D59-август!D59</f>
        <v>0</v>
      </c>
    </row>
    <row r="60" spans="1:9" ht="40.5" customHeight="1" hidden="1">
      <c r="A60" s="51" t="s">
        <v>132</v>
      </c>
      <c r="B60" s="33">
        <v>223.07</v>
      </c>
      <c r="C60" s="33">
        <v>20</v>
      </c>
      <c r="D60" s="33"/>
      <c r="E60" s="26">
        <f t="shared" si="0"/>
        <v>0</v>
      </c>
      <c r="F60" s="26"/>
      <c r="G60" s="26"/>
      <c r="H60" s="25" t="e">
        <f t="shared" si="1"/>
        <v>#DIV/0!</v>
      </c>
      <c r="I60" s="33">
        <f>D60-август!D60</f>
        <v>0</v>
      </c>
    </row>
    <row r="61" spans="1:9" ht="51" hidden="1">
      <c r="A61" s="51" t="s">
        <v>133</v>
      </c>
      <c r="B61" s="33">
        <v>223.07</v>
      </c>
      <c r="C61" s="33">
        <v>20</v>
      </c>
      <c r="D61" s="33"/>
      <c r="E61" s="26">
        <f t="shared" si="0"/>
        <v>0</v>
      </c>
      <c r="F61" s="26"/>
      <c r="G61" s="33"/>
      <c r="H61" s="25" t="e">
        <f t="shared" si="1"/>
        <v>#DIV/0!</v>
      </c>
      <c r="I61" s="33">
        <f>D61-август!D61</f>
        <v>0</v>
      </c>
    </row>
    <row r="62" spans="1:9" ht="76.5" hidden="1">
      <c r="A62" s="51" t="s">
        <v>134</v>
      </c>
      <c r="B62" s="33">
        <v>223.07</v>
      </c>
      <c r="C62" s="33">
        <v>20</v>
      </c>
      <c r="D62" s="33"/>
      <c r="E62" s="26">
        <f t="shared" si="0"/>
        <v>0</v>
      </c>
      <c r="F62" s="26"/>
      <c r="G62" s="33"/>
      <c r="H62" s="25" t="e">
        <f t="shared" si="1"/>
        <v>#DIV/0!</v>
      </c>
      <c r="I62" s="33">
        <f>D62-август!D62</f>
        <v>0</v>
      </c>
    </row>
    <row r="63" spans="1:9" ht="12.75" hidden="1">
      <c r="A63" s="51" t="s">
        <v>135</v>
      </c>
      <c r="B63" s="33">
        <v>223.07</v>
      </c>
      <c r="C63" s="33">
        <v>20</v>
      </c>
      <c r="D63" s="33"/>
      <c r="E63" s="26">
        <f t="shared" si="0"/>
        <v>0</v>
      </c>
      <c r="F63" s="26"/>
      <c r="G63" s="103"/>
      <c r="H63" s="25" t="e">
        <f t="shared" si="1"/>
        <v>#DIV/0!</v>
      </c>
      <c r="I63" s="33">
        <f>D63-август!D63</f>
        <v>0</v>
      </c>
    </row>
    <row r="64" spans="1:9" ht="12.75">
      <c r="A64" s="47" t="s">
        <v>16</v>
      </c>
      <c r="B64" s="33">
        <v>-1089.27</v>
      </c>
      <c r="C64" s="33">
        <v>-1092.2</v>
      </c>
      <c r="D64" s="33">
        <v>6446.15</v>
      </c>
      <c r="E64" s="26">
        <f t="shared" si="0"/>
        <v>-591.7862421621819</v>
      </c>
      <c r="F64" s="26">
        <v>-38.79</v>
      </c>
      <c r="G64" s="26">
        <v>26.7</v>
      </c>
      <c r="H64" s="25" t="s">
        <v>148</v>
      </c>
      <c r="I64" s="33">
        <f>D64-август!D64</f>
        <v>726.8799999999992</v>
      </c>
    </row>
    <row r="65" spans="1:9" ht="12.75">
      <c r="A65" s="54" t="s">
        <v>17</v>
      </c>
      <c r="B65" s="26">
        <f>B64+B53+B49+B48+B47+B38+B30+B27+B22+B17+B8</f>
        <v>743069.1900000001</v>
      </c>
      <c r="C65" s="26">
        <f>C64+C53+C49+C48+C47+C38+C30+C27+C22+C17+C8</f>
        <v>475811.55</v>
      </c>
      <c r="D65" s="26">
        <f>D64+D53+D49+D48+D47+D38+D30+D27+D22+D17+D8+D37</f>
        <v>509853.27999999997</v>
      </c>
      <c r="E65" s="26">
        <f t="shared" si="0"/>
        <v>68.6145095048282</v>
      </c>
      <c r="F65" s="26">
        <v>27699.089999999997</v>
      </c>
      <c r="G65" s="26">
        <v>497478.5</v>
      </c>
      <c r="H65" s="25">
        <f t="shared" si="1"/>
        <v>95.64464594952344</v>
      </c>
      <c r="I65" s="33">
        <f>D65-август!D65</f>
        <v>50367.83999999991</v>
      </c>
    </row>
    <row r="66" spans="1:9" ht="12.75">
      <c r="A66" s="54" t="s">
        <v>18</v>
      </c>
      <c r="B66" s="26">
        <f>B67+B72+B73</f>
        <v>3722400.0800000005</v>
      </c>
      <c r="C66" s="26">
        <f>C67+C72+C73</f>
        <v>2402009.06</v>
      </c>
      <c r="D66" s="26">
        <f>D67+D72+D73</f>
        <v>2400262</v>
      </c>
      <c r="E66" s="26">
        <f t="shared" si="0"/>
        <v>64.481569643637</v>
      </c>
      <c r="F66" s="26">
        <v>43822.57000000001</v>
      </c>
      <c r="G66" s="27">
        <v>2040607.4</v>
      </c>
      <c r="H66" s="25">
        <f t="shared" si="1"/>
        <v>117.71049443415723</v>
      </c>
      <c r="I66" s="33">
        <f>D66-август!D66</f>
        <v>270594.7100000004</v>
      </c>
    </row>
    <row r="67" spans="1:9" ht="25.5">
      <c r="A67" s="54" t="s">
        <v>19</v>
      </c>
      <c r="B67" s="26">
        <f>SUM(B68:B71)</f>
        <v>3730780.3300000005</v>
      </c>
      <c r="C67" s="26">
        <f>SUM(C68:C71)</f>
        <v>2410389.3000000003</v>
      </c>
      <c r="D67" s="26">
        <f>SUM(D68:D71)</f>
        <v>2410389.2</v>
      </c>
      <c r="E67" s="26">
        <f t="shared" si="0"/>
        <v>64.60817809661819</v>
      </c>
      <c r="F67" s="26">
        <v>46091.770000000004</v>
      </c>
      <c r="G67" s="27">
        <v>2058980.3</v>
      </c>
      <c r="H67" s="25">
        <f t="shared" si="1"/>
        <v>117.06713755347732</v>
      </c>
      <c r="I67" s="33">
        <f>D67-август!D67</f>
        <v>270594.7100000004</v>
      </c>
    </row>
    <row r="68" spans="1:9" ht="12.75">
      <c r="A68" s="51" t="s">
        <v>108</v>
      </c>
      <c r="B68" s="27">
        <v>578714.4</v>
      </c>
      <c r="C68" s="27">
        <v>534737.75</v>
      </c>
      <c r="D68" s="27">
        <v>534737.65</v>
      </c>
      <c r="E68" s="25">
        <f t="shared" si="0"/>
        <v>92.40095805461208</v>
      </c>
      <c r="F68" s="25">
        <v>15902.8</v>
      </c>
      <c r="G68" s="27">
        <v>406972.3</v>
      </c>
      <c r="H68" s="25">
        <f t="shared" si="1"/>
        <v>131.39413910971336</v>
      </c>
      <c r="I68" s="33">
        <f>D68-август!D68</f>
        <v>47061.90000000002</v>
      </c>
    </row>
    <row r="69" spans="1:9" ht="12.75" customHeight="1">
      <c r="A69" s="51" t="s">
        <v>109</v>
      </c>
      <c r="B69" s="27">
        <v>1750748.84</v>
      </c>
      <c r="C69" s="27">
        <v>887541.1</v>
      </c>
      <c r="D69" s="27">
        <v>887541.1</v>
      </c>
      <c r="E69" s="25">
        <f t="shared" si="0"/>
        <v>50.69494148572446</v>
      </c>
      <c r="F69" s="25">
        <v>0</v>
      </c>
      <c r="G69" s="27">
        <v>789849.5</v>
      </c>
      <c r="H69" s="25">
        <f t="shared" si="1"/>
        <v>112.36838157142594</v>
      </c>
      <c r="I69" s="33">
        <f>D69-август!D69</f>
        <v>146707.87</v>
      </c>
    </row>
    <row r="70" spans="1:9" ht="18.75" customHeight="1">
      <c r="A70" s="51" t="s">
        <v>110</v>
      </c>
      <c r="B70" s="27">
        <v>1338149.35</v>
      </c>
      <c r="C70" s="27">
        <v>947266.6</v>
      </c>
      <c r="D70" s="27">
        <v>947266.6</v>
      </c>
      <c r="E70" s="25">
        <f t="shared" si="0"/>
        <v>70.78930315214814</v>
      </c>
      <c r="F70" s="25">
        <v>30188.97</v>
      </c>
      <c r="G70" s="34">
        <v>810840.2</v>
      </c>
      <c r="H70" s="25">
        <f t="shared" si="1"/>
        <v>116.82531280516186</v>
      </c>
      <c r="I70" s="33">
        <f>D70-август!D70</f>
        <v>72571.40000000002</v>
      </c>
    </row>
    <row r="71" spans="1:9" ht="12.75" customHeight="1">
      <c r="A71" s="2" t="s">
        <v>122</v>
      </c>
      <c r="B71" s="27">
        <v>63167.74</v>
      </c>
      <c r="C71" s="27">
        <v>40843.85</v>
      </c>
      <c r="D71" s="27">
        <v>40843.85</v>
      </c>
      <c r="E71" s="25">
        <f t="shared" si="0"/>
        <v>64.65934985168063</v>
      </c>
      <c r="F71" s="25">
        <v>0</v>
      </c>
      <c r="G71" s="83">
        <v>51318.3</v>
      </c>
      <c r="H71" s="25" t="s">
        <v>148</v>
      </c>
      <c r="I71" s="33">
        <f>D71-август!D71</f>
        <v>4253.540000000001</v>
      </c>
    </row>
    <row r="72" spans="1:9" ht="12.75" customHeight="1">
      <c r="A72" s="54" t="s">
        <v>113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34">
        <v>0</v>
      </c>
      <c r="H72" s="25" t="s">
        <v>148</v>
      </c>
      <c r="I72" s="33">
        <f>D72-август!D72</f>
        <v>0</v>
      </c>
    </row>
    <row r="73" spans="1:13" ht="25.5">
      <c r="A73" s="54" t="s">
        <v>21</v>
      </c>
      <c r="B73" s="27">
        <v>-8380.25</v>
      </c>
      <c r="C73" s="27">
        <v>-8380.239999999998</v>
      </c>
      <c r="D73" s="27">
        <v>-10127.2</v>
      </c>
      <c r="E73" s="26">
        <f t="shared" si="0"/>
        <v>120.84603681274426</v>
      </c>
      <c r="F73" s="26">
        <v>-2269.2</v>
      </c>
      <c r="G73" s="26">
        <v>-18372.9</v>
      </c>
      <c r="H73" s="25">
        <f t="shared" si="1"/>
        <v>45.611961094873415</v>
      </c>
      <c r="I73" s="33">
        <f>D73-август!D73</f>
        <v>0</v>
      </c>
      <c r="K73" s="98"/>
      <c r="L73" s="98"/>
      <c r="M73" s="98"/>
    </row>
    <row r="74" spans="1:9" ht="12.75">
      <c r="A74" s="47" t="s">
        <v>20</v>
      </c>
      <c r="B74" s="26">
        <f>B65+B66</f>
        <v>4465469.2700000005</v>
      </c>
      <c r="C74" s="26">
        <f>C65+C66</f>
        <v>2877820.61</v>
      </c>
      <c r="D74" s="26">
        <f>D65+D66</f>
        <v>2910115.28</v>
      </c>
      <c r="E74" s="25">
        <f>D74/B74*100</f>
        <v>65.1693048153033</v>
      </c>
      <c r="F74" s="25">
        <v>71521.66</v>
      </c>
      <c r="G74" s="33">
        <v>2538085.9</v>
      </c>
      <c r="H74" s="25">
        <f>C74/G74*100</f>
        <v>113.38546934128588</v>
      </c>
      <c r="I74" s="33">
        <f>D74-август!D74</f>
        <v>320962.5500000003</v>
      </c>
    </row>
    <row r="75" spans="1:9" ht="12.75" hidden="1">
      <c r="A75" s="54"/>
      <c r="B75" s="61"/>
      <c r="C75" s="61"/>
      <c r="D75" s="61"/>
      <c r="E75" s="45"/>
      <c r="F75" s="45"/>
      <c r="G75" s="61"/>
      <c r="H75" s="45"/>
      <c r="I75" s="61"/>
    </row>
    <row r="76" spans="1:9" ht="12.75" hidden="1">
      <c r="A76" s="54"/>
      <c r="B76" s="56"/>
      <c r="C76" s="56"/>
      <c r="D76" s="56"/>
      <c r="E76" s="45"/>
      <c r="F76" s="45"/>
      <c r="G76" s="56"/>
      <c r="H76" s="45"/>
      <c r="I76" s="56"/>
    </row>
    <row r="77" spans="1:9" ht="12.75" hidden="1">
      <c r="A77" s="47"/>
      <c r="B77" s="57"/>
      <c r="C77" s="57"/>
      <c r="D77" s="57"/>
      <c r="E77" s="45"/>
      <c r="F77" s="45"/>
      <c r="G77" s="57"/>
      <c r="H77" s="45"/>
      <c r="I77" s="57"/>
    </row>
    <row r="78" spans="1:9" ht="12.75" hidden="1">
      <c r="A78" s="89"/>
      <c r="B78" s="33"/>
      <c r="C78" s="33"/>
      <c r="D78" s="33"/>
      <c r="E78" s="25"/>
      <c r="F78" s="25"/>
      <c r="G78" s="33"/>
      <c r="H78" s="25"/>
      <c r="I78" s="33"/>
    </row>
    <row r="79" spans="1:9" ht="12.75">
      <c r="A79" s="121" t="s">
        <v>22</v>
      </c>
      <c r="B79" s="121"/>
      <c r="C79" s="121"/>
      <c r="D79" s="121"/>
      <c r="E79" s="121"/>
      <c r="F79" s="121"/>
      <c r="G79" s="121"/>
      <c r="H79" s="121"/>
      <c r="I79" s="121"/>
    </row>
    <row r="80" spans="1:9" ht="12.75">
      <c r="A80" s="7" t="s">
        <v>23</v>
      </c>
      <c r="B80" s="33">
        <f>B81+B82+B83+B84+B85+B86+B87+B88</f>
        <v>623553.6</v>
      </c>
      <c r="C80" s="33">
        <f>C81+C82+C83+C84+C85+C86+C87+C88</f>
        <v>266283.04</v>
      </c>
      <c r="D80" s="33">
        <f>D81+D82+D83+D84+D85+D86+D87+D88</f>
        <v>265245.83999999997</v>
      </c>
      <c r="E80" s="25">
        <f>$D:$D/$B:$B*100</f>
        <v>42.53777702510257</v>
      </c>
      <c r="F80" s="25">
        <f>$D:$D/$C:$C*100</f>
        <v>99.61048965041107</v>
      </c>
      <c r="G80" s="33">
        <v>178561</v>
      </c>
      <c r="H80" s="25">
        <f>$D:$D/$G:$G*100</f>
        <v>148.54634550657758</v>
      </c>
      <c r="I80" s="33">
        <f>D80-июль!D80</f>
        <v>60643.19999999998</v>
      </c>
    </row>
    <row r="81" spans="1:9" ht="14.25" customHeight="1">
      <c r="A81" s="8" t="s">
        <v>24</v>
      </c>
      <c r="B81" s="27">
        <v>3197.2</v>
      </c>
      <c r="C81" s="27">
        <v>2550.4</v>
      </c>
      <c r="D81" s="27">
        <v>2527</v>
      </c>
      <c r="E81" s="28">
        <f>$D:$D/$B:$B*100</f>
        <v>79.03790816964845</v>
      </c>
      <c r="F81" s="28">
        <v>0</v>
      </c>
      <c r="G81" s="104">
        <v>1991.7</v>
      </c>
      <c r="H81" s="28">
        <f aca="true" t="shared" si="2" ref="H81:H129">$D:$D/$G:$G*100</f>
        <v>126.87653763116936</v>
      </c>
      <c r="I81" s="34">
        <f>D81-июль!D81</f>
        <v>670.4000000000001</v>
      </c>
    </row>
    <row r="82" spans="1:9" ht="12.75">
      <c r="A82" s="8" t="s">
        <v>25</v>
      </c>
      <c r="B82" s="27">
        <v>7698.8</v>
      </c>
      <c r="C82" s="27">
        <v>5170.9</v>
      </c>
      <c r="D82" s="27">
        <v>5170.1</v>
      </c>
      <c r="E82" s="28">
        <f>$D:$D/$B:$B*100</f>
        <v>67.15462149945446</v>
      </c>
      <c r="F82" s="28">
        <f>$D:$D/$C:$C*100</f>
        <v>99.9845288054304</v>
      </c>
      <c r="G82" s="104">
        <v>4855.5</v>
      </c>
      <c r="H82" s="28">
        <f t="shared" si="2"/>
        <v>106.47925033467203</v>
      </c>
      <c r="I82" s="34">
        <f>D82-июль!D82</f>
        <v>1109.4000000000005</v>
      </c>
    </row>
    <row r="83" spans="1:9" ht="25.5">
      <c r="A83" s="8" t="s">
        <v>26</v>
      </c>
      <c r="B83" s="27">
        <v>70928.9</v>
      </c>
      <c r="C83" s="27">
        <v>53428.2</v>
      </c>
      <c r="D83" s="27">
        <v>52740</v>
      </c>
      <c r="E83" s="28">
        <f>$D:$D/$B:$B*100</f>
        <v>74.35615101883718</v>
      </c>
      <c r="F83" s="28">
        <f>$D:$D/$C:$C*100</f>
        <v>98.71191617909643</v>
      </c>
      <c r="G83" s="104">
        <v>43995.2</v>
      </c>
      <c r="H83" s="28">
        <f t="shared" si="2"/>
        <v>119.87671382332618</v>
      </c>
      <c r="I83" s="34">
        <f>D83-июль!D83</f>
        <v>15361.199999999997</v>
      </c>
    </row>
    <row r="84" spans="1:9" ht="12.75">
      <c r="A84" s="8" t="s">
        <v>72</v>
      </c>
      <c r="B84" s="27">
        <v>12.8</v>
      </c>
      <c r="C84" s="27">
        <v>3.84</v>
      </c>
      <c r="D84" s="27">
        <v>3.84</v>
      </c>
      <c r="E84" s="28">
        <v>0</v>
      </c>
      <c r="F84" s="28">
        <v>0</v>
      </c>
      <c r="G84" s="104">
        <v>170</v>
      </c>
      <c r="H84" s="28">
        <f t="shared" si="2"/>
        <v>2.2588235294117647</v>
      </c>
      <c r="I84" s="34">
        <f>D84-июль!D84</f>
        <v>0</v>
      </c>
    </row>
    <row r="85" spans="1:9" ht="25.5">
      <c r="A85" s="1" t="s">
        <v>27</v>
      </c>
      <c r="B85" s="27">
        <v>18122.5</v>
      </c>
      <c r="C85" s="27">
        <v>12271.7</v>
      </c>
      <c r="D85" s="27">
        <v>12228.9</v>
      </c>
      <c r="E85" s="28">
        <f>$D:$D/$B:$B*100</f>
        <v>67.47910056559525</v>
      </c>
      <c r="F85" s="28">
        <v>0</v>
      </c>
      <c r="G85" s="104">
        <v>11741.8</v>
      </c>
      <c r="H85" s="28">
        <f t="shared" si="2"/>
        <v>104.14842698734437</v>
      </c>
      <c r="I85" s="34">
        <f>D85-июль!D85</f>
        <v>2879</v>
      </c>
    </row>
    <row r="86" spans="1:9" ht="12.75" hidden="1">
      <c r="A86" s="8" t="s">
        <v>28</v>
      </c>
      <c r="B86" s="27">
        <v>0</v>
      </c>
      <c r="C86" s="27">
        <v>0</v>
      </c>
      <c r="D86" s="27">
        <v>0</v>
      </c>
      <c r="E86" s="28">
        <v>0</v>
      </c>
      <c r="F86" s="28">
        <v>0</v>
      </c>
      <c r="G86" s="104">
        <v>7709.7</v>
      </c>
      <c r="H86" s="28">
        <f t="shared" si="2"/>
        <v>0</v>
      </c>
      <c r="I86" s="34">
        <f>D86-июль!D86</f>
        <v>0</v>
      </c>
    </row>
    <row r="87" spans="1:9" ht="12.75">
      <c r="A87" s="8" t="s">
        <v>29</v>
      </c>
      <c r="B87" s="27">
        <v>1967.1</v>
      </c>
      <c r="C87" s="27">
        <v>0</v>
      </c>
      <c r="D87" s="27">
        <v>0</v>
      </c>
      <c r="E87" s="28">
        <f>$D:$D/$B:$B*100</f>
        <v>0</v>
      </c>
      <c r="F87" s="28">
        <v>0</v>
      </c>
      <c r="G87" s="104">
        <v>0</v>
      </c>
      <c r="H87" s="28">
        <v>0</v>
      </c>
      <c r="I87" s="34">
        <f>D87-июль!D87</f>
        <v>0</v>
      </c>
    </row>
    <row r="88" spans="1:9" ht="12.75">
      <c r="A88" s="1" t="s">
        <v>30</v>
      </c>
      <c r="B88" s="27">
        <v>521626.3</v>
      </c>
      <c r="C88" s="27">
        <v>192858</v>
      </c>
      <c r="D88" s="27">
        <v>192576</v>
      </c>
      <c r="E88" s="28">
        <f>$D:$D/$B:$B*100</f>
        <v>36.91838390817334</v>
      </c>
      <c r="F88" s="28">
        <f>$D:$D/$C:$C*100</f>
        <v>99.85377842765143</v>
      </c>
      <c r="G88" s="104">
        <v>108097.1</v>
      </c>
      <c r="H88" s="28">
        <f t="shared" si="2"/>
        <v>178.15094021948784</v>
      </c>
      <c r="I88" s="34">
        <f>D88-июль!D88</f>
        <v>40623.20000000001</v>
      </c>
    </row>
    <row r="89" spans="1:9" ht="12.75">
      <c r="A89" s="7" t="s">
        <v>31</v>
      </c>
      <c r="B89" s="26">
        <v>527.7</v>
      </c>
      <c r="C89" s="26">
        <v>392.1</v>
      </c>
      <c r="D89" s="26">
        <v>392.1</v>
      </c>
      <c r="E89" s="25">
        <f>$D:$D/$B:$B*100</f>
        <v>74.30358158044343</v>
      </c>
      <c r="F89" s="25">
        <f>$D:$D/$C:$C*100</f>
        <v>100</v>
      </c>
      <c r="G89" s="105">
        <v>304.4</v>
      </c>
      <c r="H89" s="25">
        <f t="shared" si="2"/>
        <v>128.81077529566363</v>
      </c>
      <c r="I89" s="33">
        <f>D89-июль!D89</f>
        <v>80.70000000000005</v>
      </c>
    </row>
    <row r="90" spans="1:9" ht="25.5">
      <c r="A90" s="9" t="s">
        <v>32</v>
      </c>
      <c r="B90" s="26">
        <v>36920.7</v>
      </c>
      <c r="C90" s="26">
        <v>28932</v>
      </c>
      <c r="D90" s="26">
        <v>28903.5</v>
      </c>
      <c r="E90" s="25">
        <f>$D:$D/$B:$B*100</f>
        <v>78.28535211954271</v>
      </c>
      <c r="F90" s="25">
        <f>$D:$D/$C:$C*100</f>
        <v>99.90149315636666</v>
      </c>
      <c r="G90" s="105">
        <v>4208.2</v>
      </c>
      <c r="H90" s="25">
        <f t="shared" si="2"/>
        <v>686.8376027755336</v>
      </c>
      <c r="I90" s="33">
        <f>D90-июль!D90</f>
        <v>14360.7</v>
      </c>
    </row>
    <row r="91" spans="1:9" ht="12.75">
      <c r="A91" s="7" t="s">
        <v>33</v>
      </c>
      <c r="B91" s="33">
        <f>B92+B93+B94+B95+B96</f>
        <v>638122.4</v>
      </c>
      <c r="C91" s="33">
        <f>C92+C93+C94+C95+C96</f>
        <v>356180.8</v>
      </c>
      <c r="D91" s="33">
        <f>D92+D93+D94+D95+D96</f>
        <v>335141.30000000005</v>
      </c>
      <c r="E91" s="33">
        <f>E92+E93+E94+E95</f>
        <v>123.82089327806719</v>
      </c>
      <c r="F91" s="33">
        <f>F92+F93+F94+F95</f>
        <v>193.1656648691607</v>
      </c>
      <c r="G91" s="33">
        <v>204650.3</v>
      </c>
      <c r="H91" s="25">
        <f t="shared" si="2"/>
        <v>163.76291654593228</v>
      </c>
      <c r="I91" s="33">
        <f>D91-июль!D91</f>
        <v>214910.10000000003</v>
      </c>
    </row>
    <row r="92" spans="1:9" ht="12.75" customHeight="1" hidden="1">
      <c r="A92" s="10" t="s">
        <v>64</v>
      </c>
      <c r="B92" s="27">
        <v>0</v>
      </c>
      <c r="C92" s="27">
        <v>0</v>
      </c>
      <c r="D92" s="27">
        <v>0</v>
      </c>
      <c r="E92" s="28">
        <v>0</v>
      </c>
      <c r="F92" s="28">
        <v>0</v>
      </c>
      <c r="G92" s="34"/>
      <c r="H92" s="28" t="e">
        <f t="shared" si="2"/>
        <v>#DIV/0!</v>
      </c>
      <c r="I92" s="34">
        <f>D92-июль!D92</f>
        <v>0</v>
      </c>
    </row>
    <row r="93" spans="1:9" ht="12.75">
      <c r="A93" s="10" t="s">
        <v>67</v>
      </c>
      <c r="B93" s="27">
        <v>14078</v>
      </c>
      <c r="C93" s="27">
        <v>798.9</v>
      </c>
      <c r="D93" s="27">
        <v>798.9</v>
      </c>
      <c r="E93" s="28">
        <f>$D:$D/$B:$B*100</f>
        <v>5.674811763034522</v>
      </c>
      <c r="F93" s="28">
        <v>0</v>
      </c>
      <c r="G93" s="104">
        <v>0</v>
      </c>
      <c r="H93" s="28">
        <v>0</v>
      </c>
      <c r="I93" s="34">
        <f>D93-июль!D93</f>
        <v>430</v>
      </c>
    </row>
    <row r="94" spans="1:9" ht="12.75">
      <c r="A94" s="8" t="s">
        <v>34</v>
      </c>
      <c r="B94" s="27">
        <v>29101</v>
      </c>
      <c r="C94" s="27">
        <v>19300.3</v>
      </c>
      <c r="D94" s="27">
        <v>19300.3</v>
      </c>
      <c r="E94" s="28">
        <f>$D:$D/$B:$B*100</f>
        <v>66.32177588399024</v>
      </c>
      <c r="F94" s="28">
        <f>$D:$D/$C:$C*100</f>
        <v>100</v>
      </c>
      <c r="G94" s="104">
        <v>18555.8</v>
      </c>
      <c r="H94" s="28">
        <f t="shared" si="2"/>
        <v>104.01222259347482</v>
      </c>
      <c r="I94" s="34">
        <f>D94-июль!D94</f>
        <v>4924.4</v>
      </c>
    </row>
    <row r="95" spans="1:9" ht="12.75">
      <c r="A95" s="10" t="s">
        <v>77</v>
      </c>
      <c r="B95" s="27">
        <v>550132.6</v>
      </c>
      <c r="C95" s="27">
        <v>306016.6</v>
      </c>
      <c r="D95" s="27">
        <v>285102.4</v>
      </c>
      <c r="E95" s="28">
        <f>$D:$D/$B:$B*100</f>
        <v>51.824305631042414</v>
      </c>
      <c r="F95" s="28">
        <f>$D:$D/$C:$C*100</f>
        <v>93.16566486916071</v>
      </c>
      <c r="G95" s="104">
        <v>163158.1</v>
      </c>
      <c r="H95" s="28">
        <f t="shared" si="2"/>
        <v>174.73996081101706</v>
      </c>
      <c r="I95" s="34">
        <f>D95-июль!D95</f>
        <v>194273.30000000002</v>
      </c>
    </row>
    <row r="96" spans="1:9" ht="12.75">
      <c r="A96" s="8" t="s">
        <v>35</v>
      </c>
      <c r="B96" s="27">
        <v>44810.8</v>
      </c>
      <c r="C96" s="27">
        <v>30065</v>
      </c>
      <c r="D96" s="27">
        <v>29939.7</v>
      </c>
      <c r="E96" s="28">
        <f>$D:$D/$B:$B*100</f>
        <v>66.81358065466361</v>
      </c>
      <c r="F96" s="28"/>
      <c r="G96" s="104">
        <v>22936.4</v>
      </c>
      <c r="H96" s="28">
        <f t="shared" si="2"/>
        <v>130.53356237247345</v>
      </c>
      <c r="I96" s="34">
        <f>D96-июль!D96</f>
        <v>15282.400000000001</v>
      </c>
    </row>
    <row r="97" spans="1:9" ht="12.75">
      <c r="A97" s="7" t="s">
        <v>36</v>
      </c>
      <c r="B97" s="33">
        <f>B99+B100+B101+B98</f>
        <v>495511.60000000003</v>
      </c>
      <c r="C97" s="26">
        <f>C99+C100+C101+C98</f>
        <v>205978.7</v>
      </c>
      <c r="D97" s="33">
        <f>D99+D100+D101+D98</f>
        <v>205701.59999999998</v>
      </c>
      <c r="E97" s="33">
        <f>E100+E101+E98</f>
        <v>97.25797761454933</v>
      </c>
      <c r="F97" s="25">
        <f>$D:$D/$C:$C*100</f>
        <v>99.86547152691028</v>
      </c>
      <c r="G97" s="33">
        <v>269169.8</v>
      </c>
      <c r="H97" s="25">
        <f t="shared" si="2"/>
        <v>76.42075745495966</v>
      </c>
      <c r="I97" s="33">
        <f>D97-июль!D97</f>
        <v>67163.39999999997</v>
      </c>
    </row>
    <row r="98" spans="1:9" ht="12.75">
      <c r="A98" s="8" t="s">
        <v>37</v>
      </c>
      <c r="B98" s="27">
        <v>86977.7</v>
      </c>
      <c r="C98" s="27">
        <v>44663.8</v>
      </c>
      <c r="D98" s="27">
        <v>44663.8</v>
      </c>
      <c r="E98" s="43">
        <v>0</v>
      </c>
      <c r="F98" s="28">
        <v>0</v>
      </c>
      <c r="G98" s="104">
        <v>12024.7</v>
      </c>
      <c r="H98" s="28">
        <f t="shared" si="2"/>
        <v>371.43379876421034</v>
      </c>
      <c r="I98" s="34">
        <f>D98-июль!D98</f>
        <v>19980.800000000003</v>
      </c>
    </row>
    <row r="99" spans="1:9" ht="12.75">
      <c r="A99" s="8" t="s">
        <v>38</v>
      </c>
      <c r="B99" s="27">
        <v>4889.7</v>
      </c>
      <c r="C99" s="27">
        <v>281.8</v>
      </c>
      <c r="D99" s="27">
        <v>281.8</v>
      </c>
      <c r="E99" s="28">
        <f aca="true" t="shared" si="3" ref="E99:E104">$D:$D/$B:$B*100</f>
        <v>5.763134752643312</v>
      </c>
      <c r="F99" s="28">
        <v>0</v>
      </c>
      <c r="G99" s="104">
        <v>817.8</v>
      </c>
      <c r="H99" s="28">
        <f t="shared" si="2"/>
        <v>34.45830276351187</v>
      </c>
      <c r="I99" s="34">
        <f>D99-июль!D99</f>
        <v>53.30000000000001</v>
      </c>
    </row>
    <row r="100" spans="1:9" ht="12.75">
      <c r="A100" s="8" t="s">
        <v>39</v>
      </c>
      <c r="B100" s="27">
        <v>301528</v>
      </c>
      <c r="C100" s="27">
        <v>92902.4</v>
      </c>
      <c r="D100" s="27">
        <v>92902.4</v>
      </c>
      <c r="E100" s="28">
        <f t="shared" si="3"/>
        <v>30.81053832479902</v>
      </c>
      <c r="F100" s="28">
        <f>$D:$D/$C:$C*100</f>
        <v>100</v>
      </c>
      <c r="G100" s="104">
        <v>181433.1</v>
      </c>
      <c r="H100" s="28">
        <f t="shared" si="2"/>
        <v>51.20476914080175</v>
      </c>
      <c r="I100" s="34">
        <f>D100-июль!D100</f>
        <v>42178.99999999999</v>
      </c>
    </row>
    <row r="101" spans="1:9" ht="12.75">
      <c r="A101" s="8" t="s">
        <v>40</v>
      </c>
      <c r="B101" s="27">
        <v>102116.2</v>
      </c>
      <c r="C101" s="27">
        <v>68130.7</v>
      </c>
      <c r="D101" s="27">
        <v>67853.6</v>
      </c>
      <c r="E101" s="28">
        <f t="shared" si="3"/>
        <v>66.4474392897503</v>
      </c>
      <c r="F101" s="28">
        <f>$D:$D/$C:$C*100</f>
        <v>99.5932817364272</v>
      </c>
      <c r="G101" s="104">
        <v>74894.2</v>
      </c>
      <c r="H101" s="28">
        <f t="shared" si="2"/>
        <v>90.59927203975742</v>
      </c>
      <c r="I101" s="34">
        <f>D101-июль!D101</f>
        <v>4950.300000000003</v>
      </c>
    </row>
    <row r="102" spans="1:9" ht="12.75">
      <c r="A102" s="11" t="s">
        <v>115</v>
      </c>
      <c r="B102" s="33">
        <f>B103+B104</f>
        <v>16169.2</v>
      </c>
      <c r="C102" s="33">
        <f>C103+C104</f>
        <v>2090</v>
      </c>
      <c r="D102" s="33">
        <f>D103+D104</f>
        <v>2090</v>
      </c>
      <c r="E102" s="25">
        <f t="shared" si="3"/>
        <v>12.925809563862156</v>
      </c>
      <c r="F102" s="25"/>
      <c r="G102" s="33">
        <v>888.6</v>
      </c>
      <c r="H102" s="25">
        <f t="shared" si="2"/>
        <v>235.20144046815213</v>
      </c>
      <c r="I102" s="33">
        <f>D102-июль!D102</f>
        <v>224.70000000000005</v>
      </c>
    </row>
    <row r="103" spans="1:9" ht="25.5">
      <c r="A103" s="39" t="s">
        <v>143</v>
      </c>
      <c r="B103" s="27">
        <v>2094</v>
      </c>
      <c r="C103" s="27">
        <v>2090</v>
      </c>
      <c r="D103" s="27">
        <v>2090</v>
      </c>
      <c r="E103" s="28">
        <f t="shared" si="3"/>
        <v>99.80897803247373</v>
      </c>
      <c r="F103" s="28"/>
      <c r="G103" s="104">
        <v>888.6</v>
      </c>
      <c r="H103" s="28">
        <f t="shared" si="2"/>
        <v>235.20144046815213</v>
      </c>
      <c r="I103" s="34">
        <f>D103-июль!D103</f>
        <v>224.70000000000005</v>
      </c>
    </row>
    <row r="104" spans="1:9" ht="25.5">
      <c r="A104" s="8" t="s">
        <v>165</v>
      </c>
      <c r="B104" s="27">
        <v>14075.2</v>
      </c>
      <c r="C104" s="27">
        <v>0</v>
      </c>
      <c r="D104" s="27">
        <v>0</v>
      </c>
      <c r="E104" s="28">
        <f t="shared" si="3"/>
        <v>0</v>
      </c>
      <c r="F104" s="28"/>
      <c r="G104" s="104">
        <v>0</v>
      </c>
      <c r="H104" s="28">
        <v>0</v>
      </c>
      <c r="I104" s="34">
        <f>D104-июль!D104</f>
        <v>0</v>
      </c>
    </row>
    <row r="105" spans="1:9" ht="12.75">
      <c r="A105" s="11" t="s">
        <v>41</v>
      </c>
      <c r="B105" s="33">
        <f>B106+B107+B109+B110+B111+B108</f>
        <v>1952787.66</v>
      </c>
      <c r="C105" s="33">
        <f>C106+C107+C109+C110+C111+C108</f>
        <v>1379979.8000000003</v>
      </c>
      <c r="D105" s="33">
        <f>D106+D107+D109+D110+D111+D108</f>
        <v>1379782.3000000003</v>
      </c>
      <c r="E105" s="33">
        <f>E106+E107+E110+E111+E109</f>
        <v>311.09190924244695</v>
      </c>
      <c r="F105" s="33">
        <f>F106+F107+F110+F111+F109</f>
        <v>499.8819243733973</v>
      </c>
      <c r="G105" s="33">
        <v>1216998.9</v>
      </c>
      <c r="H105" s="25">
        <f t="shared" si="2"/>
        <v>113.3758050233242</v>
      </c>
      <c r="I105" s="33">
        <f>D105-июль!D105</f>
        <v>263631.50000000047</v>
      </c>
    </row>
    <row r="106" spans="1:9" ht="12.75">
      <c r="A106" s="8" t="s">
        <v>42</v>
      </c>
      <c r="B106" s="27">
        <v>743162.4</v>
      </c>
      <c r="C106" s="27">
        <v>534117.9</v>
      </c>
      <c r="D106" s="27">
        <v>534117.9</v>
      </c>
      <c r="E106" s="28">
        <f aca="true" t="shared" si="4" ref="E106:E116">$D:$D/$B:$B*100</f>
        <v>71.87095310527013</v>
      </c>
      <c r="F106" s="28">
        <f aca="true" t="shared" si="5" ref="F106:F114">$D:$D/$C:$C*100</f>
        <v>100</v>
      </c>
      <c r="G106" s="104">
        <v>461039.9</v>
      </c>
      <c r="H106" s="28">
        <f t="shared" si="2"/>
        <v>115.8506888449351</v>
      </c>
      <c r="I106" s="34">
        <f>D106-июль!D106</f>
        <v>112217.60000000003</v>
      </c>
    </row>
    <row r="107" spans="1:9" ht="12.75">
      <c r="A107" s="8" t="s">
        <v>43</v>
      </c>
      <c r="B107" s="27">
        <v>810609.5</v>
      </c>
      <c r="C107" s="27">
        <v>557164.7</v>
      </c>
      <c r="D107" s="27">
        <v>557164.4</v>
      </c>
      <c r="E107" s="28">
        <f t="shared" si="4"/>
        <v>68.73400817532979</v>
      </c>
      <c r="F107" s="28">
        <f t="shared" si="5"/>
        <v>99.99994615595713</v>
      </c>
      <c r="G107" s="104">
        <v>493661</v>
      </c>
      <c r="H107" s="28">
        <f t="shared" si="2"/>
        <v>112.86376683594612</v>
      </c>
      <c r="I107" s="34">
        <f>D107-июль!D107</f>
        <v>92958.90000000002</v>
      </c>
    </row>
    <row r="108" spans="1:9" ht="12.75">
      <c r="A108" s="21" t="s">
        <v>105</v>
      </c>
      <c r="B108" s="27">
        <v>155053</v>
      </c>
      <c r="C108" s="27">
        <v>104976.1</v>
      </c>
      <c r="D108" s="27">
        <v>104976.1</v>
      </c>
      <c r="E108" s="28">
        <f t="shared" si="4"/>
        <v>67.70336594583787</v>
      </c>
      <c r="F108" s="28">
        <f t="shared" si="5"/>
        <v>100</v>
      </c>
      <c r="G108" s="104">
        <v>101924.8</v>
      </c>
      <c r="H108" s="28">
        <f t="shared" si="2"/>
        <v>102.99367769178846</v>
      </c>
      <c r="I108" s="34">
        <f>D108-июль!D108</f>
        <v>15200.600000000006</v>
      </c>
    </row>
    <row r="109" spans="1:9" ht="25.5">
      <c r="A109" s="8" t="s">
        <v>123</v>
      </c>
      <c r="B109" s="27">
        <v>374.76</v>
      </c>
      <c r="C109" s="27">
        <v>99.1</v>
      </c>
      <c r="D109" s="27">
        <v>99.1</v>
      </c>
      <c r="E109" s="28">
        <f t="shared" si="4"/>
        <v>26.44359056462803</v>
      </c>
      <c r="F109" s="28">
        <f t="shared" si="5"/>
        <v>100</v>
      </c>
      <c r="G109" s="104">
        <v>422.6</v>
      </c>
      <c r="H109" s="28">
        <f t="shared" si="2"/>
        <v>23.450070989114998</v>
      </c>
      <c r="I109" s="34">
        <f>D109-июль!D109</f>
        <v>39.49999999999999</v>
      </c>
    </row>
    <row r="110" spans="1:9" ht="12.75">
      <c r="A110" s="8" t="s">
        <v>44</v>
      </c>
      <c r="B110" s="27">
        <v>24342.6</v>
      </c>
      <c r="C110" s="27">
        <v>16534.2</v>
      </c>
      <c r="D110" s="27">
        <v>16534.2</v>
      </c>
      <c r="E110" s="28">
        <f t="shared" si="4"/>
        <v>67.92290059402036</v>
      </c>
      <c r="F110" s="28">
        <f t="shared" si="5"/>
        <v>100</v>
      </c>
      <c r="G110" s="104">
        <v>37024.7</v>
      </c>
      <c r="H110" s="28">
        <f t="shared" si="2"/>
        <v>44.65721531842257</v>
      </c>
      <c r="I110" s="34">
        <f>D110-июль!D110</f>
        <v>4743</v>
      </c>
    </row>
    <row r="111" spans="1:9" ht="12.75">
      <c r="A111" s="8" t="s">
        <v>45</v>
      </c>
      <c r="B111" s="27">
        <v>219245.4</v>
      </c>
      <c r="C111" s="27">
        <v>167087.8</v>
      </c>
      <c r="D111" s="27">
        <v>166890.6</v>
      </c>
      <c r="E111" s="28">
        <f t="shared" si="4"/>
        <v>76.1204568031986</v>
      </c>
      <c r="F111" s="28">
        <f t="shared" si="5"/>
        <v>99.88197821744018</v>
      </c>
      <c r="G111" s="104">
        <v>122925.9</v>
      </c>
      <c r="H111" s="28">
        <f t="shared" si="2"/>
        <v>135.76520489172748</v>
      </c>
      <c r="I111" s="34">
        <f>D111-июль!D111</f>
        <v>38471.90000000001</v>
      </c>
    </row>
    <row r="112" spans="1:9" ht="25.5">
      <c r="A112" s="11" t="s">
        <v>46</v>
      </c>
      <c r="B112" s="33">
        <f>B113+B114</f>
        <v>347317.80000000005</v>
      </c>
      <c r="C112" s="33">
        <f>C113+C114</f>
        <v>233927.40000000002</v>
      </c>
      <c r="D112" s="33">
        <f>D113+D114</f>
        <v>233900.30000000002</v>
      </c>
      <c r="E112" s="25">
        <f t="shared" si="4"/>
        <v>67.34474881506218</v>
      </c>
      <c r="F112" s="25">
        <f t="shared" si="5"/>
        <v>99.98841520916318</v>
      </c>
      <c r="G112" s="33">
        <v>149770.6</v>
      </c>
      <c r="H112" s="25">
        <f t="shared" si="2"/>
        <v>156.17237294903006</v>
      </c>
      <c r="I112" s="33">
        <f>D112-июль!D112</f>
        <v>59297.100000000006</v>
      </c>
    </row>
    <row r="113" spans="1:9" ht="12.75">
      <c r="A113" s="8" t="s">
        <v>47</v>
      </c>
      <c r="B113" s="27">
        <v>221708.2</v>
      </c>
      <c r="C113" s="27">
        <v>169229.7</v>
      </c>
      <c r="D113" s="27">
        <v>169229.7</v>
      </c>
      <c r="E113" s="28">
        <f t="shared" si="4"/>
        <v>76.3299237466183</v>
      </c>
      <c r="F113" s="28">
        <f t="shared" si="5"/>
        <v>100</v>
      </c>
      <c r="G113" s="104">
        <v>127028.9</v>
      </c>
      <c r="H113" s="28">
        <f t="shared" si="2"/>
        <v>133.2214165437944</v>
      </c>
      <c r="I113" s="34">
        <f>D113-июль!D113</f>
        <v>53838.20000000001</v>
      </c>
    </row>
    <row r="114" spans="1:9" ht="25.5">
      <c r="A114" s="8" t="s">
        <v>48</v>
      </c>
      <c r="B114" s="27">
        <v>125609.6</v>
      </c>
      <c r="C114" s="27">
        <v>64697.7</v>
      </c>
      <c r="D114" s="27">
        <v>64670.6</v>
      </c>
      <c r="E114" s="28">
        <f t="shared" si="4"/>
        <v>51.485396020686316</v>
      </c>
      <c r="F114" s="28">
        <f t="shared" si="5"/>
        <v>99.9581128850021</v>
      </c>
      <c r="G114" s="104">
        <v>22741.7</v>
      </c>
      <c r="H114" s="28">
        <f t="shared" si="2"/>
        <v>284.3701218466517</v>
      </c>
      <c r="I114" s="34">
        <f>D114-июль!D114</f>
        <v>5458.9000000000015</v>
      </c>
    </row>
    <row r="115" spans="1:9" ht="12.75">
      <c r="A115" s="11" t="s">
        <v>97</v>
      </c>
      <c r="B115" s="33">
        <f>B116</f>
        <v>163.45</v>
      </c>
      <c r="C115" s="33">
        <f>C116</f>
        <v>163.5</v>
      </c>
      <c r="D115" s="33">
        <f>D116</f>
        <v>163.5</v>
      </c>
      <c r="E115" s="25">
        <f t="shared" si="4"/>
        <v>100.0305903946161</v>
      </c>
      <c r="F115" s="25">
        <v>0</v>
      </c>
      <c r="G115" s="33">
        <v>195.8</v>
      </c>
      <c r="H115" s="25">
        <f t="shared" si="2"/>
        <v>83.50357507660878</v>
      </c>
      <c r="I115" s="33">
        <f>D115-июль!D115</f>
        <v>0</v>
      </c>
    </row>
    <row r="116" spans="1:9" ht="12.75">
      <c r="A116" s="8" t="s">
        <v>98</v>
      </c>
      <c r="B116" s="27">
        <v>163.45</v>
      </c>
      <c r="C116" s="27">
        <v>163.5</v>
      </c>
      <c r="D116" s="27">
        <v>163.5</v>
      </c>
      <c r="E116" s="28">
        <f t="shared" si="4"/>
        <v>100.0305903946161</v>
      </c>
      <c r="F116" s="28">
        <v>0</v>
      </c>
      <c r="G116" s="34">
        <v>195.8</v>
      </c>
      <c r="H116" s="28">
        <f t="shared" si="2"/>
        <v>83.50357507660878</v>
      </c>
      <c r="I116" s="34">
        <f>D116-июль!D116</f>
        <v>0</v>
      </c>
    </row>
    <row r="117" spans="1:9" ht="12.75">
      <c r="A117" s="11" t="s">
        <v>49</v>
      </c>
      <c r="B117" s="33">
        <f>B118+B120+B121+B122</f>
        <v>164351.28</v>
      </c>
      <c r="C117" s="33">
        <f>C118+C120+C121+C122</f>
        <v>98753.1</v>
      </c>
      <c r="D117" s="33">
        <f>D118+D120+D121+D122</f>
        <v>98701.2</v>
      </c>
      <c r="E117" s="33">
        <f>E118+E119+E120+E121</f>
        <v>180.0188317886268</v>
      </c>
      <c r="F117" s="33" t="e">
        <f>F118+F119+F120+F121</f>
        <v>#DIV/0!</v>
      </c>
      <c r="G117" s="33">
        <v>88379.3</v>
      </c>
      <c r="H117" s="25">
        <f t="shared" si="2"/>
        <v>111.67909227613254</v>
      </c>
      <c r="I117" s="33">
        <f>D117-июль!D117</f>
        <v>16529.199999999997</v>
      </c>
    </row>
    <row r="118" spans="1:9" ht="12.75">
      <c r="A118" s="8" t="s">
        <v>50</v>
      </c>
      <c r="B118" s="27">
        <v>3025.38</v>
      </c>
      <c r="C118" s="27">
        <v>1711.3</v>
      </c>
      <c r="D118" s="27">
        <v>1709.3</v>
      </c>
      <c r="E118" s="28">
        <f>$D:$D/$B:$B*100</f>
        <v>56.49868776814812</v>
      </c>
      <c r="F118" s="28">
        <v>0</v>
      </c>
      <c r="G118" s="104">
        <v>1679.8</v>
      </c>
      <c r="H118" s="28">
        <f t="shared" si="2"/>
        <v>101.7561614477914</v>
      </c>
      <c r="I118" s="34">
        <f>D118-июль!D118</f>
        <v>576.5</v>
      </c>
    </row>
    <row r="119" spans="1:9" ht="12.75" hidden="1">
      <c r="A119" s="8" t="s">
        <v>51</v>
      </c>
      <c r="B119" s="22">
        <v>0</v>
      </c>
      <c r="C119" s="22">
        <v>0</v>
      </c>
      <c r="D119" s="22">
        <v>0</v>
      </c>
      <c r="E119" s="28">
        <v>0</v>
      </c>
      <c r="F119" s="28" t="e">
        <f>$D:$D/$C:$C*100</f>
        <v>#DIV/0!</v>
      </c>
      <c r="G119" s="104">
        <v>0</v>
      </c>
      <c r="H119" s="28" t="e">
        <f t="shared" si="2"/>
        <v>#DIV/0!</v>
      </c>
      <c r="I119" s="34">
        <f>D119-июль!D119</f>
        <v>0</v>
      </c>
    </row>
    <row r="120" spans="1:9" ht="12.75">
      <c r="A120" s="8" t="s">
        <v>52</v>
      </c>
      <c r="B120" s="27">
        <v>100684</v>
      </c>
      <c r="C120" s="27">
        <v>55623.6</v>
      </c>
      <c r="D120" s="27">
        <v>55623.5</v>
      </c>
      <c r="E120" s="28">
        <f>$D:$D/$B:$B*100</f>
        <v>55.245619959477175</v>
      </c>
      <c r="F120" s="28">
        <v>0</v>
      </c>
      <c r="G120" s="104">
        <v>46110.5</v>
      </c>
      <c r="H120" s="28">
        <f t="shared" si="2"/>
        <v>120.63087583088449</v>
      </c>
      <c r="I120" s="34">
        <f>D120-июль!D120</f>
        <v>5831.300000000003</v>
      </c>
    </row>
    <row r="121" spans="1:9" ht="12.75">
      <c r="A121" s="8" t="s">
        <v>53</v>
      </c>
      <c r="B121" s="27">
        <v>58037.9</v>
      </c>
      <c r="C121" s="27">
        <v>39644.6</v>
      </c>
      <c r="D121" s="27">
        <v>39625.1</v>
      </c>
      <c r="E121" s="28">
        <f>$D:$D/$B:$B*100</f>
        <v>68.27452406100151</v>
      </c>
      <c r="F121" s="28">
        <f>$D:$D/$C:$C*100</f>
        <v>99.95081297326747</v>
      </c>
      <c r="G121" s="104">
        <v>39020.7</v>
      </c>
      <c r="H121" s="28">
        <f t="shared" si="2"/>
        <v>101.5489214698865</v>
      </c>
      <c r="I121" s="34">
        <f>D121-июль!D121</f>
        <v>9492.8</v>
      </c>
    </row>
    <row r="122" spans="1:9" ht="12.75">
      <c r="A122" s="8" t="s">
        <v>54</v>
      </c>
      <c r="B122" s="27">
        <v>2604</v>
      </c>
      <c r="C122" s="27">
        <v>1773.6</v>
      </c>
      <c r="D122" s="27">
        <v>1743.3</v>
      </c>
      <c r="E122" s="28">
        <f>$D:$D/$B:$B*100</f>
        <v>66.94700460829492</v>
      </c>
      <c r="F122" s="28"/>
      <c r="G122" s="104">
        <v>1568.3</v>
      </c>
      <c r="H122" s="28">
        <f t="shared" si="2"/>
        <v>111.15857935344002</v>
      </c>
      <c r="I122" s="34">
        <f>D122-июль!D122</f>
        <v>628.5999999999999</v>
      </c>
    </row>
    <row r="123" spans="1:9" ht="12.75">
      <c r="A123" s="11" t="s">
        <v>61</v>
      </c>
      <c r="B123" s="26">
        <f>B124+B125+B126</f>
        <v>361042.8</v>
      </c>
      <c r="C123" s="26">
        <f>C124+C125+C126</f>
        <v>161133.60000000003</v>
      </c>
      <c r="D123" s="26">
        <f>D124+D125+D126</f>
        <v>161086.50000000003</v>
      </c>
      <c r="E123" s="25">
        <f>$D:$D/$B:$B*100</f>
        <v>44.617009396115925</v>
      </c>
      <c r="F123" s="25">
        <f>$D:$D/$C:$C*100</f>
        <v>99.9707695974024</v>
      </c>
      <c r="G123" s="26">
        <v>159791.9</v>
      </c>
      <c r="H123" s="25">
        <f t="shared" si="2"/>
        <v>100.81017873872207</v>
      </c>
      <c r="I123" s="33">
        <f>D123-июль!D123</f>
        <v>26960.00000000003</v>
      </c>
    </row>
    <row r="124" spans="1:9" ht="12.75">
      <c r="A124" s="39" t="s">
        <v>62</v>
      </c>
      <c r="B124" s="27">
        <v>294545.2</v>
      </c>
      <c r="C124" s="27">
        <v>117991.6</v>
      </c>
      <c r="D124" s="27">
        <v>117991.6</v>
      </c>
      <c r="E124" s="28">
        <f>$D:$D/$B:$B*100</f>
        <v>40.05891116202199</v>
      </c>
      <c r="F124" s="28">
        <f>$D:$D/$C:$C*100</f>
        <v>100</v>
      </c>
      <c r="G124" s="104">
        <v>68063.2</v>
      </c>
      <c r="H124" s="28">
        <f t="shared" si="2"/>
        <v>173.35593977362217</v>
      </c>
      <c r="I124" s="34">
        <f>D124-июль!D124</f>
        <v>18989.70000000001</v>
      </c>
    </row>
    <row r="125" spans="1:9" ht="24.75" customHeight="1">
      <c r="A125" s="12" t="s">
        <v>63</v>
      </c>
      <c r="B125" s="27">
        <v>61318.6</v>
      </c>
      <c r="C125" s="27">
        <v>39694.8</v>
      </c>
      <c r="D125" s="27">
        <v>39694.8</v>
      </c>
      <c r="E125" s="28">
        <v>0</v>
      </c>
      <c r="F125" s="28">
        <v>0</v>
      </c>
      <c r="G125" s="104">
        <v>88648.1</v>
      </c>
      <c r="H125" s="28">
        <f t="shared" si="2"/>
        <v>44.77794786351879</v>
      </c>
      <c r="I125" s="34">
        <f>D125-июль!D125</f>
        <v>6975.4000000000015</v>
      </c>
    </row>
    <row r="126" spans="1:9" ht="25.5">
      <c r="A126" s="12" t="s">
        <v>73</v>
      </c>
      <c r="B126" s="27">
        <v>5179</v>
      </c>
      <c r="C126" s="27">
        <v>3447.2</v>
      </c>
      <c r="D126" s="27">
        <v>3400.1</v>
      </c>
      <c r="E126" s="28">
        <f>$D:$D/$B:$B*100</f>
        <v>65.65167020660358</v>
      </c>
      <c r="F126" s="28">
        <f>$D:$D/$C:$C*100</f>
        <v>98.63367370619633</v>
      </c>
      <c r="G126" s="104">
        <v>3080.6</v>
      </c>
      <c r="H126" s="28">
        <f t="shared" si="2"/>
        <v>110.37135622930599</v>
      </c>
      <c r="I126" s="34">
        <f>D126-июль!D126</f>
        <v>994.9000000000001</v>
      </c>
    </row>
    <row r="127" spans="1:9" s="99" customFormat="1" ht="26.25" customHeight="1">
      <c r="A127" s="13" t="s">
        <v>80</v>
      </c>
      <c r="B127" s="26">
        <v>5.8</v>
      </c>
      <c r="C127" s="26">
        <v>5.75</v>
      </c>
      <c r="D127" s="26">
        <v>5.75</v>
      </c>
      <c r="E127" s="25">
        <f>$D:$D/$B:$B*100</f>
        <v>99.13793103448276</v>
      </c>
      <c r="F127" s="25">
        <v>0</v>
      </c>
      <c r="G127" s="104">
        <v>2.01384</v>
      </c>
      <c r="H127" s="28">
        <f t="shared" si="2"/>
        <v>285.52417272474474</v>
      </c>
      <c r="I127" s="34">
        <f>D127-июль!D127</f>
        <v>0</v>
      </c>
    </row>
    <row r="128" spans="1:9" ht="13.5" customHeight="1">
      <c r="A128" s="12" t="s">
        <v>81</v>
      </c>
      <c r="B128" s="27">
        <v>5.8</v>
      </c>
      <c r="C128" s="27">
        <v>5.75</v>
      </c>
      <c r="D128" s="27">
        <v>5.75</v>
      </c>
      <c r="E128" s="28">
        <f>$D:$D/$B:$B*100</f>
        <v>99.13793103448276</v>
      </c>
      <c r="F128" s="28">
        <v>0</v>
      </c>
      <c r="G128" s="34">
        <v>2.01</v>
      </c>
      <c r="H128" s="28">
        <f t="shared" si="2"/>
        <v>286.06965174129357</v>
      </c>
      <c r="I128" s="34">
        <f>D128-июль!D128</f>
        <v>0</v>
      </c>
    </row>
    <row r="129" spans="1:9" ht="15.75" customHeight="1">
      <c r="A129" s="14" t="s">
        <v>55</v>
      </c>
      <c r="B129" s="33">
        <f>B80+B89+B90+B91+B97+B105+B112+B115+B117+B123+B127+B102</f>
        <v>4636473.99</v>
      </c>
      <c r="C129" s="33">
        <f>C80+C89+C90+C91+C97+C105+C112+C115+C117+C123+C127+C102</f>
        <v>2733819.7900000005</v>
      </c>
      <c r="D129" s="33">
        <f>D80+D89+D90+D91+D97+D105+D112+D115+D117+D123+D127+D102-0.1</f>
        <v>2711113.79</v>
      </c>
      <c r="E129" s="25">
        <f>$D:$D/$B:$B*100</f>
        <v>58.47361153858215</v>
      </c>
      <c r="F129" s="25">
        <f>$D:$D/$C:$C*100</f>
        <v>99.16944049922178</v>
      </c>
      <c r="G129" s="33">
        <v>2272920.81384</v>
      </c>
      <c r="H129" s="25">
        <f t="shared" si="2"/>
        <v>119.27884920107235</v>
      </c>
      <c r="I129" s="33">
        <f>D129-июль!D129</f>
        <v>723800.4000000001</v>
      </c>
    </row>
    <row r="130" spans="1:9" ht="26.25" customHeight="1">
      <c r="A130" s="79" t="s">
        <v>56</v>
      </c>
      <c r="B130" s="80">
        <f>B74-B129</f>
        <v>-171004.71999999974</v>
      </c>
      <c r="C130" s="80">
        <f>C74-C129</f>
        <v>144000.81999999937</v>
      </c>
      <c r="D130" s="80">
        <f>D74-D129</f>
        <v>199001.48999999976</v>
      </c>
      <c r="E130" s="80"/>
      <c r="F130" s="80"/>
      <c r="G130" s="33">
        <v>265165.0861600004</v>
      </c>
      <c r="H130" s="80"/>
      <c r="I130" s="34">
        <f>D130-июль!D130</f>
        <v>11037.619999999879</v>
      </c>
    </row>
    <row r="131" spans="1:9" ht="24" customHeight="1">
      <c r="A131" s="1" t="s">
        <v>57</v>
      </c>
      <c r="B131" s="27" t="s">
        <v>159</v>
      </c>
      <c r="C131" s="27"/>
      <c r="D131" s="27" t="s">
        <v>191</v>
      </c>
      <c r="E131" s="27"/>
      <c r="F131" s="27"/>
      <c r="G131" s="27" t="s">
        <v>190</v>
      </c>
      <c r="H131" s="26"/>
      <c r="I131" s="34"/>
    </row>
    <row r="132" spans="1:9" ht="12.75">
      <c r="A132" s="3" t="s">
        <v>58</v>
      </c>
      <c r="B132" s="77">
        <f>B134+B135</f>
        <v>99223.6</v>
      </c>
      <c r="C132" s="77">
        <f>C134+C135</f>
        <v>0</v>
      </c>
      <c r="D132" s="77">
        <f>D134+D135</f>
        <v>263225.03</v>
      </c>
      <c r="E132" s="77"/>
      <c r="F132" s="77">
        <f>F134+F135</f>
        <v>0</v>
      </c>
      <c r="G132" s="106">
        <v>295987.39</v>
      </c>
      <c r="H132" s="77"/>
      <c r="I132" s="34">
        <f>D132-июль!D132</f>
        <v>11037.530000000028</v>
      </c>
    </row>
    <row r="133" spans="1:9" ht="12" customHeight="1">
      <c r="A133" s="1" t="s">
        <v>6</v>
      </c>
      <c r="B133" s="78"/>
      <c r="C133" s="27"/>
      <c r="D133" s="27"/>
      <c r="E133" s="27"/>
      <c r="F133" s="27"/>
      <c r="G133" s="27"/>
      <c r="H133" s="35"/>
      <c r="I133" s="34">
        <f>D133-июль!D133</f>
        <v>0</v>
      </c>
    </row>
    <row r="134" spans="1:9" ht="12.75">
      <c r="A134" s="5" t="s">
        <v>59</v>
      </c>
      <c r="B134" s="78">
        <v>53815.7</v>
      </c>
      <c r="C134" s="27"/>
      <c r="D134" s="27">
        <v>221855.94</v>
      </c>
      <c r="E134" s="27"/>
      <c r="F134" s="27"/>
      <c r="G134" s="27">
        <v>257313.51</v>
      </c>
      <c r="H134" s="35"/>
      <c r="I134" s="34">
        <f>D134-июль!D134</f>
        <v>52201.54000000001</v>
      </c>
    </row>
    <row r="135" spans="1:9" ht="12.75">
      <c r="A135" s="1" t="s">
        <v>60</v>
      </c>
      <c r="B135" s="78">
        <f>99223.6-B134</f>
        <v>45407.90000000001</v>
      </c>
      <c r="C135" s="27"/>
      <c r="D135" s="27">
        <v>41369.09</v>
      </c>
      <c r="E135" s="27"/>
      <c r="F135" s="27"/>
      <c r="G135" s="27">
        <v>38673.880000000005</v>
      </c>
      <c r="H135" s="35"/>
      <c r="I135" s="34">
        <f>D135-июль!D135</f>
        <v>-41164.01000000001</v>
      </c>
    </row>
    <row r="136" spans="1:9" ht="12.75">
      <c r="A136" s="3" t="s">
        <v>99</v>
      </c>
      <c r="B136" s="26">
        <f>B137-B138</f>
        <v>22950</v>
      </c>
      <c r="C136" s="26">
        <f>C137-C138</f>
        <v>-35000</v>
      </c>
      <c r="D136" s="26">
        <f>D137-D138</f>
        <v>-35000</v>
      </c>
      <c r="E136" s="26"/>
      <c r="F136" s="26">
        <f>F137-F138</f>
        <v>0</v>
      </c>
      <c r="G136" s="26">
        <v>-12050</v>
      </c>
      <c r="H136" s="26"/>
      <c r="I136" s="34">
        <f>D136-июль!D136</f>
        <v>0</v>
      </c>
    </row>
    <row r="137" spans="1:9" ht="12.75">
      <c r="A137" s="2" t="s">
        <v>100</v>
      </c>
      <c r="B137" s="27">
        <v>35000</v>
      </c>
      <c r="C137" s="27">
        <v>0</v>
      </c>
      <c r="D137" s="27">
        <v>0</v>
      </c>
      <c r="E137" s="36"/>
      <c r="F137" s="36"/>
      <c r="G137" s="36">
        <v>0</v>
      </c>
      <c r="H137" s="37"/>
      <c r="I137" s="34">
        <f>D137-июль!D137</f>
        <v>0</v>
      </c>
    </row>
    <row r="138" spans="1:9" ht="12.75">
      <c r="A138" s="2" t="s">
        <v>101</v>
      </c>
      <c r="B138" s="27">
        <v>12050</v>
      </c>
      <c r="C138" s="27">
        <v>35000</v>
      </c>
      <c r="D138" s="27">
        <v>35000</v>
      </c>
      <c r="E138" s="36"/>
      <c r="F138" s="36"/>
      <c r="G138" s="27">
        <v>12050</v>
      </c>
      <c r="H138" s="37"/>
      <c r="I138" s="34">
        <f>D138-июль!D138</f>
        <v>0</v>
      </c>
    </row>
    <row r="139" spans="1:9" ht="12.75">
      <c r="A139" s="15"/>
      <c r="B139" s="24"/>
      <c r="C139" s="24"/>
      <c r="D139" s="24"/>
      <c r="E139" s="24"/>
      <c r="F139" s="24"/>
      <c r="G139" s="84"/>
      <c r="H139" s="24"/>
      <c r="I139" s="24"/>
    </row>
    <row r="141" ht="12" customHeight="1">
      <c r="A141" s="21" t="s">
        <v>79</v>
      </c>
    </row>
    <row r="142" ht="12.75" customHeight="1" hidden="1"/>
    <row r="144" spans="1:9" ht="25.5">
      <c r="A144" s="15" t="s">
        <v>103</v>
      </c>
      <c r="B144" s="24"/>
      <c r="C144" s="24"/>
      <c r="D144" s="24" t="s">
        <v>137</v>
      </c>
      <c r="E144" s="24"/>
      <c r="F144" s="24"/>
      <c r="G144" s="84"/>
      <c r="H144" s="24"/>
      <c r="I144" s="24"/>
    </row>
  </sheetData>
  <sheetProtection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user11</cp:lastModifiedBy>
  <cp:lastPrinted>2023-12-11T12:23:46Z</cp:lastPrinted>
  <dcterms:created xsi:type="dcterms:W3CDTF">2010-09-10T01:16:58Z</dcterms:created>
  <dcterms:modified xsi:type="dcterms:W3CDTF">2023-12-12T04:19:37Z</dcterms:modified>
  <cp:category/>
  <cp:version/>
  <cp:contentType/>
  <cp:contentStatus/>
</cp:coreProperties>
</file>