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1"/>
  </bookViews>
  <sheets>
    <sheet name="Январь" sheetId="1" r:id="rId1"/>
    <sheet name="Февраль" sheetId="2" r:id="rId2"/>
    <sheet name="май1" sheetId="3" state="hidden" r:id="rId3"/>
  </sheets>
  <definedNames>
    <definedName name="_xlnm.Print_Titles" localSheetId="2">'май1'!$4:$5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<sst xmlns="http://schemas.openxmlformats.org/spreadsheetml/2006/main" count="483" uniqueCount="163">
  <si>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</si>
  <si>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</si>
  <si>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</si>
  <si>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</si>
  <si>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</si>
  <si>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</si>
  <si>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</si>
  <si>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</si>
  <si>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</si>
  <si>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</si>
  <si>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</si>
  <si>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</si>
  <si>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</si>
  <si>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</si>
  <si>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</si>
  <si>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</si>
  <si>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</si>
  <si>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</si>
  <si>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</si>
  <si>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</si>
  <si>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</si>
  <si>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</si>
  <si>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</si>
  <si>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</si>
  <si>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</si>
  <si>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</si>
  <si>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</si>
  <si>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</si>
  <si>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</si>
  <si>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</si>
  <si>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</si>
  <si>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</si>
  <si>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</si>
  <si>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</si>
  <si>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</si>
  <si>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</si>
  <si>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</si>
  <si>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</si>
  <si>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</si>
  <si>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</si>
  <si>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</si>
  <si>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</si>
  <si>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</si>
  <si>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</si>
  <si>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</si>
  <si>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</si>
  <si>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</si>
  <si>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</si>
  <si>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</si>
  <si>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</si>
  <si>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</si>
  <si>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</si>
  <si>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</si>
  <si>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</si>
  <si>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</si>
  <si>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</si>
  <si>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</si>
  <si>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</si>
  <si>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</si>
  <si>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</si>
  <si>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</si>
  <si>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</si>
  <si>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</si>
  <si>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</si>
  <si>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</si>
  <si>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</si>
  <si>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</si>
  <si>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</si>
  <si>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</si>
  <si>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</si>
  <si>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</si>
  <si>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</si>
  <si>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</si>
  <si>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</si>
  <si>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</si>
  <si>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</si>
  <si>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</si>
  <si>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</si>
  <si>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</si>
  <si>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</si>
  <si>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</si>
  <si>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</si>
  <si>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</si>
  <si>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</si>
  <si>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</si>
  <si>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</si>
  <si>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</si>
  <si>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</si>
  <si>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</si>
  <si>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</si>
  <si>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</si>
  <si>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</si>
  <si>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</si>
  <si>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</si>
  <si>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</si>
  <si>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</si>
  <si>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</si>
  <si>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</si>
  <si>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</si>
  <si>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</si>
  <si>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</si>
  <si>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</si>
  <si>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</si>
  <si>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</si>
  <si>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</si>
  <si>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</si>
  <si>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</si>
  <si>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</si>
  <si>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</si>
  <si>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</si>
  <si>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</si>
  <si>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</si>
  <si>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</si>
  <si>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</si>
  <si>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</si>
  <si>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</si>
  <si>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</si>
  <si>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</si>
  <si>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</si>
  <si>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</si>
  <si>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</si>
  <si>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</si>
  <si>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</si>
  <si>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</si>
  <si>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</si>
  <si>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</si>
  <si>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</si>
  <si>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</si>
  <si>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</si>
  <si>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</si>
  <si>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</si>
  <si>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</si>
  <si>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</si>
  <si>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</si>
  <si>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</si>
  <si>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</si>
  <si>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</si>
  <si>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</si>
  <si>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</si>
  <si>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</si>
  <si>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</si>
  <si>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</si>
  <si>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</si>
  <si>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</si>
  <si>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</si>
  <si>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</si>
  <si>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</si>
  <si>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</si>
  <si>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</si>
  <si>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ЗАДОЛЖЕННОСТЬ И ПЕРЕРАСЧЕТЫ ПО ОТМЕНЕННЫМ НАЛОГАМ, СБОРАМ И ИНЫМ ОБЯЗАТЕЛЬНЫМ ПЛАТЕЖАМ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</si>
  <si>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</si>
  <si>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</si>
  <si>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На 01.02.2023</t>
  </si>
  <si>
    <t>На 01.03.2023</t>
  </si>
  <si>
    <t>Охрана объектов растительного и животного мира и среды их обитания и Другие вопросы в области охраны окружающей среды</t>
  </si>
  <si>
    <t>на 01 февраля 2024 года</t>
  </si>
  <si>
    <t>План за 1 мес 2024 г.</t>
  </si>
  <si>
    <t>Факт за аналогичный период 2023 г.</t>
  </si>
  <si>
    <t>На 01.02.2024</t>
  </si>
  <si>
    <t>На 01.01.2024</t>
  </si>
  <si>
    <t>на 01 марта 2024 года</t>
  </si>
  <si>
    <t>План за 2 мес 2024 г.</t>
  </si>
  <si>
    <t>На 01.03.2024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</si>
</sst>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178" fontId="3" fillId="33" borderId="10" xfId="0" applyNumberFormat="1" applyFont="1" applyFill="1" applyBorder="1" applyAlignment="1">
      <alignment horizontal="center" vertical="top" wrapText="1"/>
    </xf>
    <xf numFmtId="178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>
      <alignment horizontal="justify" vertical="top" wrapText="1"/>
    </xf>
    <xf numFmtId="178" fontId="3" fillId="34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justify" vertical="top" wrapText="1"/>
    </xf>
    <xf numFmtId="178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34" borderId="10" xfId="0" applyNumberFormat="1" applyFont="1" applyFill="1" applyBorder="1" applyAlignment="1" applyProtection="1">
      <alignment horizontal="center" vertical="top" wrapText="1"/>
      <protection/>
    </xf>
    <xf numFmtId="178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8" fontId="3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34" borderId="10" xfId="0" applyNumberFormat="1" applyFont="1" applyFill="1" applyBorder="1" applyAlignment="1">
      <alignment horizontal="justify" vertical="top" wrapText="1"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/>
    </xf>
    <xf numFmtId="49" fontId="10" fillId="34" borderId="19" xfId="55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178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34" borderId="10" xfId="0" applyNumberFormat="1" applyFont="1" applyFill="1" applyBorder="1" applyAlignment="1" applyProtection="1">
      <alignment vertical="top" wrapText="1"/>
      <protection locked="0"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top" wrapText="1"/>
      <protection locked="0"/>
    </xf>
    <xf numFmtId="178" fontId="3" fillId="34" borderId="15" xfId="0" applyNumberFormat="1" applyFont="1" applyFill="1" applyBorder="1" applyAlignment="1">
      <alignment horizontal="center" vertical="top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4" fontId="10" fillId="0" borderId="19" xfId="53" applyNumberFormat="1" applyFont="1" applyBorder="1" applyAlignment="1" applyProtection="1">
      <alignment horizontal="center" vertical="top" wrapText="1"/>
      <protection/>
    </xf>
    <xf numFmtId="4" fontId="10" fillId="34" borderId="19" xfId="53" applyNumberFormat="1" applyFont="1" applyFill="1" applyBorder="1" applyAlignment="1" applyProtection="1">
      <alignment horizontal="center" vertical="top" wrapText="1"/>
      <protection/>
    </xf>
    <xf numFmtId="0" fontId="3" fillId="34" borderId="12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0" sqref="B130:B136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5" t="s">
        <v>102</v>
      </c>
      <c r="B1" s="115"/>
      <c r="C1" s="115"/>
      <c r="D1" s="115"/>
      <c r="E1" s="115"/>
      <c r="F1" s="115"/>
      <c r="G1" s="115"/>
      <c r="H1" s="115"/>
      <c r="I1" s="29"/>
    </row>
    <row r="2" spans="1:9" ht="15">
      <c r="A2" s="116" t="s">
        <v>155</v>
      </c>
      <c r="B2" s="116"/>
      <c r="C2" s="116"/>
      <c r="D2" s="116"/>
      <c r="E2" s="116"/>
      <c r="F2" s="116"/>
      <c r="G2" s="116"/>
      <c r="H2" s="116"/>
      <c r="I2" s="30"/>
    </row>
    <row r="3" spans="1:9" ht="5.25" customHeight="1" hidden="1">
      <c r="A3" s="117" t="s">
        <v>0</v>
      </c>
      <c r="B3" s="117"/>
      <c r="C3" s="117"/>
      <c r="D3" s="117"/>
      <c r="E3" s="117"/>
      <c r="F3" s="117"/>
      <c r="G3" s="117"/>
      <c r="H3" s="117"/>
      <c r="I3" s="31"/>
    </row>
    <row r="4" spans="1:9" ht="45" customHeight="1">
      <c r="A4" s="4" t="s">
        <v>1</v>
      </c>
      <c r="B4" s="109" t="s">
        <v>2</v>
      </c>
      <c r="C4" s="109" t="s">
        <v>156</v>
      </c>
      <c r="D4" s="109" t="s">
        <v>68</v>
      </c>
      <c r="E4" s="17" t="s">
        <v>66</v>
      </c>
      <c r="F4" s="17" t="s">
        <v>69</v>
      </c>
      <c r="G4" s="17" t="s">
        <v>157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8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B8+B16+B21+B26+B29+B37+B46+B47+B48+B52+B63</f>
        <v>888969.7</v>
      </c>
      <c r="C7" s="33">
        <f>C8+C16+C21+C26+C29+C37+C46+C47+C48+C52+C63</f>
        <v>31097.7</v>
      </c>
      <c r="D7" s="33">
        <f>D8+D16+D21+D26+D29+D37+D46+D47+D48+D52+D63+D36</f>
        <v>41877.310000000005</v>
      </c>
      <c r="E7" s="25">
        <f>D7/B7*100</f>
        <v>4.710769107203542</v>
      </c>
      <c r="F7" s="25">
        <v>27699.089999999997</v>
      </c>
      <c r="G7" s="33">
        <f>G8+G16+G21+G26+G29+G37+G46+G47+G48+G52+G63+G36</f>
        <v>25873.099999999995</v>
      </c>
      <c r="H7" s="25">
        <f>C7/G7*100</f>
        <v>120.19317360501836</v>
      </c>
      <c r="I7" s="33">
        <f>D7</f>
        <v>41877.310000000005</v>
      </c>
    </row>
    <row r="8" spans="1:9" ht="12.75">
      <c r="A8" s="47" t="s">
        <v>4</v>
      </c>
      <c r="B8" s="84">
        <f>B9+B10</f>
        <v>442056.7</v>
      </c>
      <c r="C8" s="84">
        <f>C9+C10</f>
        <v>18150</v>
      </c>
      <c r="D8" s="84">
        <f>D9+D10</f>
        <v>7634.200000000001</v>
      </c>
      <c r="E8" s="25">
        <f aca="true" t="shared" si="0" ref="E8:E70">D8/B8*100</f>
        <v>1.726973033097338</v>
      </c>
      <c r="F8" s="25">
        <v>10645.39</v>
      </c>
      <c r="G8" s="25">
        <f>G9+G10</f>
        <v>18698.32</v>
      </c>
      <c r="H8" s="25">
        <f aca="true" t="shared" si="1" ref="H8:H72">C8/G8*100</f>
        <v>97.06754403604174</v>
      </c>
      <c r="I8" s="33">
        <f aca="true" t="shared" si="2" ref="I8:I72">D8</f>
        <v>7634.200000000001</v>
      </c>
    </row>
    <row r="9" spans="1:9" ht="25.5">
      <c r="A9" s="48" t="s">
        <v>5</v>
      </c>
      <c r="B9" s="86">
        <v>16315</v>
      </c>
      <c r="C9" s="86">
        <v>0</v>
      </c>
      <c r="D9" s="86">
        <v>1109.3</v>
      </c>
      <c r="E9" s="27">
        <f t="shared" si="0"/>
        <v>6.799264480539382</v>
      </c>
      <c r="F9" s="25">
        <v>200.86</v>
      </c>
      <c r="G9" s="27">
        <v>540.24</v>
      </c>
      <c r="H9" s="25">
        <f t="shared" si="1"/>
        <v>0</v>
      </c>
      <c r="I9" s="27">
        <f t="shared" si="2"/>
        <v>1109.3</v>
      </c>
    </row>
    <row r="10" spans="1:9" ht="12.75" customHeight="1">
      <c r="A10" s="49" t="s">
        <v>70</v>
      </c>
      <c r="B10" s="108">
        <f>SUM(B11:B15)</f>
        <v>425741.7</v>
      </c>
      <c r="C10" s="108">
        <f>SUM(C11:C15)</f>
        <v>18150</v>
      </c>
      <c r="D10" s="108">
        <f>SUM(D11:D15)</f>
        <v>6524.900000000001</v>
      </c>
      <c r="E10" s="25">
        <f t="shared" si="0"/>
        <v>1.532595937865612</v>
      </c>
      <c r="F10" s="25">
        <v>10444.529999999999</v>
      </c>
      <c r="G10" s="42">
        <f>SUM(G11:G15)</f>
        <v>18158.079999999998</v>
      </c>
      <c r="H10" s="25">
        <f t="shared" si="1"/>
        <v>99.95550190328494</v>
      </c>
      <c r="I10" s="33">
        <f t="shared" si="2"/>
        <v>6524.900000000001</v>
      </c>
    </row>
    <row r="11" spans="1:9" ht="51">
      <c r="A11" s="51" t="s">
        <v>74</v>
      </c>
      <c r="B11" s="86">
        <v>396322.2</v>
      </c>
      <c r="C11" s="86">
        <v>18000</v>
      </c>
      <c r="D11" s="86">
        <v>6046</v>
      </c>
      <c r="E11" s="27">
        <f t="shared" si="0"/>
        <v>1.5255264529718495</v>
      </c>
      <c r="F11" s="27">
        <v>10058</v>
      </c>
      <c r="G11" s="27">
        <v>18380.36</v>
      </c>
      <c r="H11" s="25">
        <f t="shared" si="1"/>
        <v>97.93061724579933</v>
      </c>
      <c r="I11" s="27">
        <f t="shared" si="2"/>
        <v>6046</v>
      </c>
    </row>
    <row r="12" spans="1:9" ht="51" customHeight="1">
      <c r="A12" s="51" t="s">
        <v>75</v>
      </c>
      <c r="B12" s="86">
        <v>3510.8</v>
      </c>
      <c r="C12" s="86">
        <v>0</v>
      </c>
      <c r="D12" s="86">
        <v>24</v>
      </c>
      <c r="E12" s="27">
        <f t="shared" si="0"/>
        <v>0.6836048763814515</v>
      </c>
      <c r="F12" s="27">
        <v>81.56</v>
      </c>
      <c r="G12" s="27">
        <v>-205.49</v>
      </c>
      <c r="H12" s="25">
        <f t="shared" si="1"/>
        <v>0</v>
      </c>
      <c r="I12" s="27">
        <f t="shared" si="2"/>
        <v>24</v>
      </c>
    </row>
    <row r="13" spans="1:9" ht="25.5">
      <c r="A13" s="51" t="s">
        <v>76</v>
      </c>
      <c r="B13" s="86">
        <v>6038.2</v>
      </c>
      <c r="C13" s="86">
        <v>0</v>
      </c>
      <c r="D13" s="86">
        <v>123.2</v>
      </c>
      <c r="E13" s="27">
        <f t="shared" si="0"/>
        <v>2.04034314862045</v>
      </c>
      <c r="F13" s="27">
        <v>117.15</v>
      </c>
      <c r="G13" s="27">
        <v>-254.97</v>
      </c>
      <c r="H13" s="25">
        <f t="shared" si="1"/>
        <v>0</v>
      </c>
      <c r="I13" s="27">
        <f t="shared" si="2"/>
        <v>123.2</v>
      </c>
    </row>
    <row r="14" spans="1:9" ht="63.75">
      <c r="A14" s="51" t="s">
        <v>78</v>
      </c>
      <c r="B14" s="86">
        <v>4309.2</v>
      </c>
      <c r="C14" s="86">
        <v>150</v>
      </c>
      <c r="D14" s="86">
        <v>190.6</v>
      </c>
      <c r="E14" s="27">
        <f t="shared" si="0"/>
        <v>4.423094773971966</v>
      </c>
      <c r="F14" s="27">
        <v>187.82</v>
      </c>
      <c r="G14" s="27">
        <v>180.03</v>
      </c>
      <c r="H14" s="25">
        <f t="shared" si="1"/>
        <v>83.31944675887351</v>
      </c>
      <c r="I14" s="27">
        <f t="shared" si="2"/>
        <v>190.6</v>
      </c>
    </row>
    <row r="15" spans="1:9" ht="37.5" customHeight="1">
      <c r="A15" s="51" t="s">
        <v>145</v>
      </c>
      <c r="B15" s="86">
        <v>15561.3</v>
      </c>
      <c r="C15" s="86">
        <v>0</v>
      </c>
      <c r="D15" s="86">
        <f>164.1-23</f>
        <v>141.1</v>
      </c>
      <c r="E15" s="27">
        <f t="shared" si="0"/>
        <v>0.9067365837044462</v>
      </c>
      <c r="F15" s="27"/>
      <c r="G15" s="27">
        <f>-0.35+58.5</f>
        <v>58.15</v>
      </c>
      <c r="H15" s="25">
        <f t="shared" si="1"/>
        <v>0</v>
      </c>
      <c r="I15" s="27">
        <f t="shared" si="2"/>
        <v>141.1</v>
      </c>
    </row>
    <row r="16" spans="1:9" ht="39.75" customHeight="1">
      <c r="A16" s="53" t="s">
        <v>82</v>
      </c>
      <c r="B16" s="91">
        <f>SUM(B17:B20)</f>
        <v>69497.8</v>
      </c>
      <c r="C16" s="91">
        <f>SUM(C17:C20)</f>
        <v>2505</v>
      </c>
      <c r="D16" s="91">
        <f>SUM(D17:D20)</f>
        <v>6026.5</v>
      </c>
      <c r="E16" s="25">
        <f t="shared" si="0"/>
        <v>8.671497515029253</v>
      </c>
      <c r="F16" s="25">
        <v>1853.18</v>
      </c>
      <c r="G16" s="26">
        <f>SUM(G17:G20)</f>
        <v>2539.2900000000004</v>
      </c>
      <c r="H16" s="25">
        <f t="shared" si="1"/>
        <v>98.64962253228263</v>
      </c>
      <c r="I16" s="33">
        <f t="shared" si="2"/>
        <v>6026.5</v>
      </c>
    </row>
    <row r="17" spans="1:9" ht="37.5" customHeight="1">
      <c r="A17" s="37" t="s">
        <v>83</v>
      </c>
      <c r="B17" s="86">
        <v>36246</v>
      </c>
      <c r="C17" s="86">
        <v>1200</v>
      </c>
      <c r="D17" s="86">
        <v>2877.6</v>
      </c>
      <c r="E17" s="27">
        <f t="shared" si="0"/>
        <v>7.939082933289191</v>
      </c>
      <c r="F17" s="27">
        <v>844.23</v>
      </c>
      <c r="G17" s="27">
        <v>1103.7</v>
      </c>
      <c r="H17" s="25">
        <f t="shared" si="1"/>
        <v>108.72519706441967</v>
      </c>
      <c r="I17" s="27">
        <f t="shared" si="2"/>
        <v>2877.6</v>
      </c>
    </row>
    <row r="18" spans="1:9" ht="56.25" customHeight="1">
      <c r="A18" s="37" t="s">
        <v>84</v>
      </c>
      <c r="B18" s="86">
        <v>172.7</v>
      </c>
      <c r="C18" s="86">
        <v>5</v>
      </c>
      <c r="D18" s="86">
        <v>13</v>
      </c>
      <c r="E18" s="27">
        <f t="shared" si="0"/>
        <v>7.527504342790968</v>
      </c>
      <c r="F18" s="27">
        <v>5.74</v>
      </c>
      <c r="G18" s="27">
        <v>2.38</v>
      </c>
      <c r="H18" s="25">
        <f t="shared" si="1"/>
        <v>210.0840336134454</v>
      </c>
      <c r="I18" s="27">
        <f t="shared" si="2"/>
        <v>13</v>
      </c>
    </row>
    <row r="19" spans="1:9" ht="55.5" customHeight="1">
      <c r="A19" s="37" t="s">
        <v>85</v>
      </c>
      <c r="B19" s="86">
        <v>37583</v>
      </c>
      <c r="C19" s="86">
        <v>1500</v>
      </c>
      <c r="D19" s="86">
        <v>3428.6</v>
      </c>
      <c r="E19" s="27">
        <f t="shared" si="0"/>
        <v>9.122741665114546</v>
      </c>
      <c r="F19" s="27">
        <v>1158.41</v>
      </c>
      <c r="G19" s="27">
        <v>1564.35</v>
      </c>
      <c r="H19" s="25">
        <f t="shared" si="1"/>
        <v>95.88647041902388</v>
      </c>
      <c r="I19" s="27">
        <f t="shared" si="2"/>
        <v>3428.6</v>
      </c>
    </row>
    <row r="20" spans="1:9" ht="15.75" customHeight="1">
      <c r="A20" s="37" t="s">
        <v>86</v>
      </c>
      <c r="B20" s="86">
        <v>-4503.9</v>
      </c>
      <c r="C20" s="86">
        <v>-200</v>
      </c>
      <c r="D20" s="86">
        <v>-292.7</v>
      </c>
      <c r="E20" s="27">
        <f t="shared" si="0"/>
        <v>6.498812140589267</v>
      </c>
      <c r="F20" s="27">
        <v>-155.2</v>
      </c>
      <c r="G20" s="27">
        <v>-131.14</v>
      </c>
      <c r="H20" s="25">
        <f t="shared" si="1"/>
        <v>152.50876925423213</v>
      </c>
      <c r="I20" s="27">
        <f t="shared" si="2"/>
        <v>-292.7</v>
      </c>
    </row>
    <row r="21" spans="1:9" ht="12.75">
      <c r="A21" s="54" t="s">
        <v>7</v>
      </c>
      <c r="B21" s="91">
        <f>SUM(B22:B25)</f>
        <v>196455.5</v>
      </c>
      <c r="C21" s="91">
        <f>SUM(C22:C25)</f>
        <v>4000</v>
      </c>
      <c r="D21" s="91">
        <f>SUM(D22:D25)</f>
        <v>18229.7</v>
      </c>
      <c r="E21" s="25">
        <f t="shared" si="0"/>
        <v>9.279302437447665</v>
      </c>
      <c r="F21" s="25">
        <v>7362.96</v>
      </c>
      <c r="G21" s="26">
        <f>SUM(G22:G25)</f>
        <v>2950.54</v>
      </c>
      <c r="H21" s="25">
        <f t="shared" si="1"/>
        <v>135.5684044276641</v>
      </c>
      <c r="I21" s="33">
        <f t="shared" si="2"/>
        <v>18229.7</v>
      </c>
    </row>
    <row r="22" spans="1:9" ht="28.5" customHeight="1">
      <c r="A22" s="51" t="s">
        <v>146</v>
      </c>
      <c r="B22" s="86">
        <v>163658.5</v>
      </c>
      <c r="C22" s="86">
        <v>2500</v>
      </c>
      <c r="D22" s="86">
        <v>597.9</v>
      </c>
      <c r="E22" s="27">
        <f t="shared" si="0"/>
        <v>0.36533391177360175</v>
      </c>
      <c r="F22" s="27"/>
      <c r="G22" s="27">
        <v>2278.01</v>
      </c>
      <c r="H22" s="25">
        <f t="shared" si="1"/>
        <v>109.74490893367455</v>
      </c>
      <c r="I22" s="27">
        <f t="shared" si="2"/>
        <v>597.9</v>
      </c>
    </row>
    <row r="23" spans="1:9" ht="19.5" customHeight="1">
      <c r="A23" s="51" t="s">
        <v>89</v>
      </c>
      <c r="B23" s="86">
        <v>0</v>
      </c>
      <c r="C23" s="86">
        <v>0</v>
      </c>
      <c r="D23" s="86">
        <v>6.8</v>
      </c>
      <c r="E23" s="27" t="s">
        <v>148</v>
      </c>
      <c r="F23" s="27">
        <v>7198.75</v>
      </c>
      <c r="G23" s="27">
        <v>-792.63</v>
      </c>
      <c r="H23" s="25">
        <f t="shared" si="1"/>
        <v>0</v>
      </c>
      <c r="I23" s="27">
        <f t="shared" si="2"/>
        <v>6.8</v>
      </c>
    </row>
    <row r="24" spans="1:9" ht="15" customHeight="1">
      <c r="A24" s="51" t="s">
        <v>87</v>
      </c>
      <c r="B24" s="86">
        <v>406.2</v>
      </c>
      <c r="C24" s="86">
        <v>0</v>
      </c>
      <c r="D24" s="86">
        <v>0</v>
      </c>
      <c r="E24" s="27">
        <f t="shared" si="0"/>
        <v>0</v>
      </c>
      <c r="F24" s="27">
        <v>113.58</v>
      </c>
      <c r="G24" s="27">
        <v>0</v>
      </c>
      <c r="H24" s="25">
        <v>0</v>
      </c>
      <c r="I24" s="27">
        <f t="shared" si="2"/>
        <v>0</v>
      </c>
    </row>
    <row r="25" spans="1:9" ht="27" customHeight="1">
      <c r="A25" s="51" t="s">
        <v>88</v>
      </c>
      <c r="B25" s="86">
        <v>32390.8</v>
      </c>
      <c r="C25" s="86">
        <v>1500</v>
      </c>
      <c r="D25" s="86">
        <v>17625</v>
      </c>
      <c r="E25" s="27">
        <f t="shared" si="0"/>
        <v>54.41359892315102</v>
      </c>
      <c r="F25" s="27">
        <v>50.63</v>
      </c>
      <c r="G25" s="27">
        <v>1465.16</v>
      </c>
      <c r="H25" s="25">
        <f t="shared" si="1"/>
        <v>102.37789729449342</v>
      </c>
      <c r="I25" s="27">
        <f t="shared" si="2"/>
        <v>17625</v>
      </c>
    </row>
    <row r="26" spans="1:9" ht="12.75">
      <c r="A26" s="54" t="s">
        <v>8</v>
      </c>
      <c r="B26" s="91">
        <f>SUM(B27:B28)</f>
        <v>48371.100000000006</v>
      </c>
      <c r="C26" s="91">
        <f>SUM(C27:C28)</f>
        <v>500</v>
      </c>
      <c r="D26" s="91">
        <f>SUM(D27:D28)</f>
        <v>2732.3</v>
      </c>
      <c r="E26" s="25">
        <f t="shared" si="0"/>
        <v>5.648620767359022</v>
      </c>
      <c r="F26" s="25">
        <v>2465.82</v>
      </c>
      <c r="G26" s="26">
        <f>SUM(G27:G28)</f>
        <v>1430.4299999999998</v>
      </c>
      <c r="H26" s="25">
        <f t="shared" si="1"/>
        <v>34.954524164062555</v>
      </c>
      <c r="I26" s="33">
        <f t="shared" si="2"/>
        <v>2732.3</v>
      </c>
    </row>
    <row r="27" spans="1:9" ht="12.75">
      <c r="A27" s="51" t="s">
        <v>106</v>
      </c>
      <c r="B27" s="86">
        <v>28982.4</v>
      </c>
      <c r="C27" s="86">
        <v>500</v>
      </c>
      <c r="D27" s="86">
        <v>1800.7</v>
      </c>
      <c r="E27" s="27">
        <f t="shared" si="0"/>
        <v>6.213081042287733</v>
      </c>
      <c r="F27" s="27">
        <v>536.1</v>
      </c>
      <c r="G27" s="27">
        <v>1038.11</v>
      </c>
      <c r="H27" s="25">
        <f t="shared" si="1"/>
        <v>48.16445270732389</v>
      </c>
      <c r="I27" s="27">
        <f t="shared" si="2"/>
        <v>1800.7</v>
      </c>
    </row>
    <row r="28" spans="1:9" ht="12.75">
      <c r="A28" s="51" t="s">
        <v>107</v>
      </c>
      <c r="B28" s="86">
        <v>19388.7</v>
      </c>
      <c r="C28" s="86">
        <v>0</v>
      </c>
      <c r="D28" s="86">
        <v>931.6</v>
      </c>
      <c r="E28" s="27">
        <f t="shared" si="0"/>
        <v>4.804860563111503</v>
      </c>
      <c r="F28" s="27">
        <v>1929.72</v>
      </c>
      <c r="G28" s="27">
        <v>392.32</v>
      </c>
      <c r="H28" s="25">
        <f t="shared" si="1"/>
        <v>0</v>
      </c>
      <c r="I28" s="27">
        <f t="shared" si="2"/>
        <v>931.6</v>
      </c>
    </row>
    <row r="29" spans="1:9" ht="12.75">
      <c r="A29" s="47" t="s">
        <v>9</v>
      </c>
      <c r="B29" s="91">
        <f>SUM(B30:B32)</f>
        <v>19050</v>
      </c>
      <c r="C29" s="91">
        <f>SUM(C30:C32)</f>
        <v>1500</v>
      </c>
      <c r="D29" s="91">
        <f>SUM(D30:D32)</f>
        <v>1556.5</v>
      </c>
      <c r="E29" s="26">
        <f t="shared" si="0"/>
        <v>8.170603674540683</v>
      </c>
      <c r="F29" s="26">
        <v>793.07</v>
      </c>
      <c r="G29" s="26">
        <f>SUM(G30:G32)</f>
        <v>1151.64</v>
      </c>
      <c r="H29" s="25">
        <f t="shared" si="1"/>
        <v>130.24903615713242</v>
      </c>
      <c r="I29" s="26">
        <f t="shared" si="2"/>
        <v>1556.5</v>
      </c>
    </row>
    <row r="30" spans="1:9" ht="25.5">
      <c r="A30" s="51" t="s">
        <v>10</v>
      </c>
      <c r="B30" s="86">
        <v>19000</v>
      </c>
      <c r="C30" s="86">
        <v>1500</v>
      </c>
      <c r="D30" s="86">
        <v>1556.5</v>
      </c>
      <c r="E30" s="27">
        <f t="shared" si="0"/>
        <v>8.192105263157895</v>
      </c>
      <c r="F30" s="27">
        <v>793.07</v>
      </c>
      <c r="G30" s="27">
        <v>1136.64</v>
      </c>
      <c r="H30" s="25">
        <f t="shared" si="1"/>
        <v>131.9679054054054</v>
      </c>
      <c r="I30" s="27">
        <f t="shared" si="2"/>
        <v>1556.5</v>
      </c>
    </row>
    <row r="31" spans="1:9" ht="25.5">
      <c r="A31" s="51" t="s">
        <v>91</v>
      </c>
      <c r="B31" s="86">
        <v>0</v>
      </c>
      <c r="C31" s="86">
        <v>0</v>
      </c>
      <c r="D31" s="86">
        <v>0</v>
      </c>
      <c r="E31" s="27">
        <v>0</v>
      </c>
      <c r="F31" s="27">
        <v>0</v>
      </c>
      <c r="G31" s="27">
        <v>0</v>
      </c>
      <c r="H31" s="25">
        <v>0</v>
      </c>
      <c r="I31" s="27">
        <f t="shared" si="2"/>
        <v>0</v>
      </c>
    </row>
    <row r="32" spans="1:9" ht="25.5">
      <c r="A32" s="51" t="s">
        <v>90</v>
      </c>
      <c r="B32" s="86">
        <v>50</v>
      </c>
      <c r="C32" s="86">
        <v>0</v>
      </c>
      <c r="D32" s="86">
        <v>0</v>
      </c>
      <c r="E32" s="27">
        <f t="shared" si="0"/>
        <v>0</v>
      </c>
      <c r="F32" s="27">
        <v>0</v>
      </c>
      <c r="G32" s="27">
        <v>15</v>
      </c>
      <c r="H32" s="25">
        <f t="shared" si="1"/>
        <v>0</v>
      </c>
      <c r="I32" s="27">
        <f t="shared" si="2"/>
        <v>0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149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0.41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91">
        <f>SUM(B39:B45)</f>
        <v>56433.600000000006</v>
      </c>
      <c r="C37" s="91">
        <f>SUM(C39:C45)</f>
        <v>4191.799999999999</v>
      </c>
      <c r="D37" s="91">
        <f>SUM(D39:D45)</f>
        <v>4999.599999999999</v>
      </c>
      <c r="E37" s="26">
        <f t="shared" si="0"/>
        <v>8.85926114938618</v>
      </c>
      <c r="F37" s="26">
        <v>3247.05</v>
      </c>
      <c r="G37" s="26">
        <f>SUM(G39:G45)</f>
        <v>4633.94</v>
      </c>
      <c r="H37" s="25">
        <f t="shared" si="1"/>
        <v>90.45865936978035</v>
      </c>
      <c r="I37" s="26">
        <f t="shared" si="2"/>
        <v>4999.599999999999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86">
        <v>28753.4</v>
      </c>
      <c r="C39" s="86">
        <v>2000</v>
      </c>
      <c r="D39" s="86">
        <v>3352.2</v>
      </c>
      <c r="E39" s="27">
        <f t="shared" si="0"/>
        <v>11.658447348835267</v>
      </c>
      <c r="F39" s="27">
        <v>2393.3</v>
      </c>
      <c r="G39" s="27">
        <v>2043.08</v>
      </c>
      <c r="H39" s="25">
        <f t="shared" si="1"/>
        <v>97.89141883822464</v>
      </c>
      <c r="I39" s="27">
        <f t="shared" si="2"/>
        <v>3352.2</v>
      </c>
    </row>
    <row r="40" spans="1:9" ht="76.5">
      <c r="A40" s="51" t="s">
        <v>125</v>
      </c>
      <c r="B40" s="86">
        <v>6260.4</v>
      </c>
      <c r="C40" s="86">
        <v>521.7</v>
      </c>
      <c r="D40" s="86">
        <v>88.7</v>
      </c>
      <c r="E40" s="27">
        <f t="shared" si="0"/>
        <v>1.416842374289183</v>
      </c>
      <c r="F40" s="27">
        <v>75.44</v>
      </c>
      <c r="G40" s="27">
        <v>903.73</v>
      </c>
      <c r="H40" s="25">
        <f t="shared" si="1"/>
        <v>57.727418587409964</v>
      </c>
      <c r="I40" s="27">
        <f t="shared" si="2"/>
        <v>88.7</v>
      </c>
    </row>
    <row r="41" spans="1:9" ht="76.5">
      <c r="A41" s="51" t="s">
        <v>118</v>
      </c>
      <c r="B41" s="86">
        <v>571.6</v>
      </c>
      <c r="C41" s="86">
        <v>44.7</v>
      </c>
      <c r="D41" s="86">
        <v>33.7</v>
      </c>
      <c r="E41" s="27">
        <f t="shared" si="0"/>
        <v>5.8957312806158155</v>
      </c>
      <c r="F41" s="27">
        <v>3.43</v>
      </c>
      <c r="G41" s="27">
        <v>83.43</v>
      </c>
      <c r="H41" s="25">
        <f t="shared" si="1"/>
        <v>53.577849694354555</v>
      </c>
      <c r="I41" s="27">
        <f t="shared" si="2"/>
        <v>33.7</v>
      </c>
    </row>
    <row r="42" spans="1:9" ht="38.25">
      <c r="A42" s="51" t="s">
        <v>119</v>
      </c>
      <c r="B42" s="86">
        <v>14742.2</v>
      </c>
      <c r="C42" s="86">
        <v>1228.5</v>
      </c>
      <c r="D42" s="86">
        <v>1361.5</v>
      </c>
      <c r="E42" s="27">
        <f t="shared" si="0"/>
        <v>9.235392275237073</v>
      </c>
      <c r="F42" s="27">
        <v>538.73</v>
      </c>
      <c r="G42" s="27">
        <v>1409.03</v>
      </c>
      <c r="H42" s="25">
        <f t="shared" si="1"/>
        <v>87.1876397237816</v>
      </c>
      <c r="I42" s="27">
        <f t="shared" si="2"/>
        <v>1361.5</v>
      </c>
    </row>
    <row r="43" spans="1:9" ht="51">
      <c r="A43" s="51" t="s">
        <v>147</v>
      </c>
      <c r="B43" s="86">
        <v>68.5</v>
      </c>
      <c r="C43" s="86">
        <v>0</v>
      </c>
      <c r="D43" s="86">
        <v>6.3</v>
      </c>
      <c r="E43" s="27">
        <f t="shared" si="0"/>
        <v>9.197080291970803</v>
      </c>
      <c r="F43" s="27"/>
      <c r="G43" s="27">
        <v>0</v>
      </c>
      <c r="H43" s="25" t="s">
        <v>148</v>
      </c>
      <c r="I43" s="27">
        <f t="shared" si="2"/>
        <v>6.3</v>
      </c>
    </row>
    <row r="44" spans="1:9" ht="51">
      <c r="A44" s="51" t="s">
        <v>120</v>
      </c>
      <c r="B44" s="86">
        <v>332</v>
      </c>
      <c r="C44" s="86">
        <v>0</v>
      </c>
      <c r="D44" s="86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86">
        <v>5705.5</v>
      </c>
      <c r="C45" s="86">
        <v>396.9</v>
      </c>
      <c r="D45" s="86">
        <v>157.2</v>
      </c>
      <c r="E45" s="27">
        <f t="shared" si="0"/>
        <v>2.7552361756200154</v>
      </c>
      <c r="F45" s="27">
        <v>236.15</v>
      </c>
      <c r="G45" s="27">
        <v>194.67</v>
      </c>
      <c r="H45" s="25">
        <f t="shared" si="1"/>
        <v>203.88349514563106</v>
      </c>
      <c r="I45" s="27">
        <f t="shared" si="2"/>
        <v>157.2</v>
      </c>
    </row>
    <row r="46" spans="1:9" ht="27" customHeight="1">
      <c r="A46" s="48" t="s">
        <v>13</v>
      </c>
      <c r="B46" s="86">
        <v>728.6</v>
      </c>
      <c r="C46" s="86">
        <v>0</v>
      </c>
      <c r="D46" s="86">
        <v>5.1</v>
      </c>
      <c r="E46" s="25">
        <f t="shared" si="0"/>
        <v>0.6999725500960746</v>
      </c>
      <c r="F46" s="25">
        <v>43.6</v>
      </c>
      <c r="G46" s="27">
        <v>2.37</v>
      </c>
      <c r="H46" s="25">
        <f t="shared" si="1"/>
        <v>0</v>
      </c>
      <c r="I46" s="33">
        <f t="shared" si="2"/>
        <v>5.1</v>
      </c>
    </row>
    <row r="47" spans="1:9" ht="25.5">
      <c r="A47" s="48" t="s">
        <v>96</v>
      </c>
      <c r="B47" s="86">
        <v>1167</v>
      </c>
      <c r="C47" s="86">
        <v>25.8</v>
      </c>
      <c r="D47" s="86">
        <v>175.8</v>
      </c>
      <c r="E47" s="25">
        <f t="shared" si="0"/>
        <v>15.064267352185091</v>
      </c>
      <c r="F47" s="25">
        <v>561.58</v>
      </c>
      <c r="G47" s="27">
        <v>0</v>
      </c>
      <c r="H47" s="25" t="e">
        <f t="shared" si="1"/>
        <v>#DIV/0!</v>
      </c>
      <c r="I47" s="33">
        <f t="shared" si="2"/>
        <v>175.8</v>
      </c>
    </row>
    <row r="48" spans="1:9" ht="25.5">
      <c r="A48" s="54" t="s">
        <v>14</v>
      </c>
      <c r="B48" s="86">
        <f>SUM(B49:B51)</f>
        <v>51005.3</v>
      </c>
      <c r="C48" s="86">
        <f>SUM(C49:C51)</f>
        <v>10</v>
      </c>
      <c r="D48" s="86">
        <f>SUM(D49:D51)</f>
        <v>56</v>
      </c>
      <c r="E48" s="25">
        <f t="shared" si="0"/>
        <v>0.10979251175858194</v>
      </c>
      <c r="F48" s="25">
        <v>585.5</v>
      </c>
      <c r="G48" s="27">
        <f>SUM(G49:G51)</f>
        <v>476.8</v>
      </c>
      <c r="H48" s="25">
        <f t="shared" si="1"/>
        <v>2.097315436241611</v>
      </c>
      <c r="I48" s="33">
        <f t="shared" si="2"/>
        <v>56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86">
        <v>49605.3</v>
      </c>
      <c r="C50" s="86">
        <v>0</v>
      </c>
      <c r="D50" s="86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86">
        <v>1400</v>
      </c>
      <c r="C51" s="86">
        <v>10</v>
      </c>
      <c r="D51" s="86">
        <v>56</v>
      </c>
      <c r="E51" s="27">
        <f t="shared" si="0"/>
        <v>4</v>
      </c>
      <c r="F51" s="27">
        <v>548.36</v>
      </c>
      <c r="G51" s="27">
        <v>476.8</v>
      </c>
      <c r="H51" s="25">
        <f t="shared" si="1"/>
        <v>2.097315436241611</v>
      </c>
      <c r="I51" s="27">
        <f t="shared" si="2"/>
        <v>56</v>
      </c>
    </row>
    <row r="52" spans="1:9" ht="12.75">
      <c r="A52" s="48" t="s">
        <v>15</v>
      </c>
      <c r="B52" s="91">
        <v>4004.1</v>
      </c>
      <c r="C52" s="91">
        <v>198.4</v>
      </c>
      <c r="D52" s="91">
        <v>446.2</v>
      </c>
      <c r="E52" s="26">
        <f t="shared" si="0"/>
        <v>11.14357783272146</v>
      </c>
      <c r="F52" s="26">
        <v>179.73</v>
      </c>
      <c r="G52" s="26">
        <v>-4938.72</v>
      </c>
      <c r="H52" s="25">
        <f t="shared" si="1"/>
        <v>-4.017235235040658</v>
      </c>
      <c r="I52" s="26">
        <f t="shared" si="2"/>
        <v>446.2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91">
        <v>200</v>
      </c>
      <c r="C63" s="91">
        <v>16.7</v>
      </c>
      <c r="D63" s="91">
        <v>15</v>
      </c>
      <c r="E63" s="26">
        <f t="shared" si="0"/>
        <v>7.5</v>
      </c>
      <c r="F63" s="26">
        <v>-38.79</v>
      </c>
      <c r="G63" s="26">
        <v>-1071.92</v>
      </c>
      <c r="H63" s="25" t="s">
        <v>148</v>
      </c>
      <c r="I63" s="26">
        <f t="shared" si="2"/>
        <v>15</v>
      </c>
    </row>
    <row r="64" spans="1:9" ht="12.75">
      <c r="A64" s="54" t="s">
        <v>17</v>
      </c>
      <c r="B64" s="26">
        <f>B63+B52+B48+B47+B46+B37+B29+B26+B21+B16+B8</f>
        <v>888969.7</v>
      </c>
      <c r="C64" s="26">
        <f>C63+C52+C48+C47+C46+C37+C29+C26+C21+C16+C8</f>
        <v>31097.699999999997</v>
      </c>
      <c r="D64" s="26">
        <f>D63+D52+D48+D47+D46+D37+D29+D26+D21+D16+D8</f>
        <v>41876.899999999994</v>
      </c>
      <c r="E64" s="26">
        <f t="shared" si="0"/>
        <v>4.710722986396499</v>
      </c>
      <c r="F64" s="26">
        <v>27699.089999999997</v>
      </c>
      <c r="G64" s="26">
        <f>G63+G52+G48+G47+G46+G37+G29+G26+G21+G16+G8</f>
        <v>25872.69</v>
      </c>
      <c r="H64" s="25">
        <f t="shared" si="1"/>
        <v>120.1950782852498</v>
      </c>
      <c r="I64" s="26">
        <f t="shared" si="2"/>
        <v>41876.899999999994</v>
      </c>
    </row>
    <row r="65" spans="1:9" ht="12.75">
      <c r="A65" s="54" t="s">
        <v>18</v>
      </c>
      <c r="B65" s="91">
        <f>B66+B71+B72</f>
        <v>2248643.4</v>
      </c>
      <c r="C65" s="91">
        <f>C66+C71+C72</f>
        <v>55355.3</v>
      </c>
      <c r="D65" s="91">
        <f>D66+D71+D72</f>
        <v>-40819.09999999999</v>
      </c>
      <c r="E65" s="26">
        <f t="shared" si="0"/>
        <v>-1.8152767130617506</v>
      </c>
      <c r="F65" s="26">
        <v>43822.57000000001</v>
      </c>
      <c r="G65" s="26">
        <f>G66+G71+G72</f>
        <v>19476.479999999996</v>
      </c>
      <c r="H65" s="25">
        <f t="shared" si="1"/>
        <v>284.216141725815</v>
      </c>
      <c r="I65" s="26">
        <f t="shared" si="2"/>
        <v>-40819.09999999999</v>
      </c>
    </row>
    <row r="66" spans="1:9" ht="25.5">
      <c r="A66" s="54" t="s">
        <v>19</v>
      </c>
      <c r="B66" s="91">
        <f>SUM(B67:B70)</f>
        <v>2248643.4</v>
      </c>
      <c r="C66" s="91">
        <f>SUM(C67:C70)</f>
        <v>55355.3</v>
      </c>
      <c r="D66" s="91">
        <f>SUM(D67:D70)</f>
        <v>55355.3</v>
      </c>
      <c r="E66" s="26">
        <f t="shared" si="0"/>
        <v>2.4617198084854186</v>
      </c>
      <c r="F66" s="26">
        <v>46091.770000000004</v>
      </c>
      <c r="G66" s="26">
        <f>SUM(G67:G70)</f>
        <v>73292.18</v>
      </c>
      <c r="H66" s="25">
        <f t="shared" si="1"/>
        <v>75.5268843142611</v>
      </c>
      <c r="I66" s="26">
        <f t="shared" si="2"/>
        <v>55355.3</v>
      </c>
    </row>
    <row r="67" spans="1:9" ht="12.75">
      <c r="A67" s="51" t="s">
        <v>108</v>
      </c>
      <c r="B67" s="86">
        <v>570775.8</v>
      </c>
      <c r="C67" s="86">
        <v>15460.1</v>
      </c>
      <c r="D67" s="86">
        <v>15460.1</v>
      </c>
      <c r="E67" s="25">
        <f t="shared" si="0"/>
        <v>2.708611682555567</v>
      </c>
      <c r="F67" s="25">
        <v>15902.8</v>
      </c>
      <c r="G67" s="27">
        <v>37020.8</v>
      </c>
      <c r="H67" s="25">
        <f t="shared" si="1"/>
        <v>41.76057783732388</v>
      </c>
      <c r="I67" s="33">
        <f t="shared" si="2"/>
        <v>15460.1</v>
      </c>
    </row>
    <row r="68" spans="1:9" ht="12.75" customHeight="1">
      <c r="A68" s="51" t="s">
        <v>109</v>
      </c>
      <c r="B68" s="86">
        <v>285046.4</v>
      </c>
      <c r="C68" s="86">
        <v>280.2</v>
      </c>
      <c r="D68" s="86">
        <v>280.2</v>
      </c>
      <c r="E68" s="25">
        <f t="shared" si="0"/>
        <v>0.09829978557876892</v>
      </c>
      <c r="F68" s="25">
        <v>0</v>
      </c>
      <c r="G68" s="27">
        <v>0</v>
      </c>
      <c r="H68" s="25">
        <v>0</v>
      </c>
      <c r="I68" s="33">
        <f t="shared" si="2"/>
        <v>280.2</v>
      </c>
    </row>
    <row r="69" spans="1:9" ht="18.75" customHeight="1">
      <c r="A69" s="51" t="s">
        <v>110</v>
      </c>
      <c r="B69" s="86">
        <v>1342157.8</v>
      </c>
      <c r="C69" s="86">
        <v>39615</v>
      </c>
      <c r="D69" s="86">
        <v>39615</v>
      </c>
      <c r="E69" s="25">
        <f t="shared" si="0"/>
        <v>2.95159034205963</v>
      </c>
      <c r="F69" s="25">
        <v>30188.97</v>
      </c>
      <c r="G69" s="27">
        <v>36271.38</v>
      </c>
      <c r="H69" s="25">
        <f t="shared" si="1"/>
        <v>109.21834239557471</v>
      </c>
      <c r="I69" s="33">
        <f t="shared" si="2"/>
        <v>39615</v>
      </c>
    </row>
    <row r="70" spans="1:9" ht="12.75" customHeight="1">
      <c r="A70" s="2" t="s">
        <v>122</v>
      </c>
      <c r="B70" s="86">
        <v>50663.4</v>
      </c>
      <c r="C70" s="86">
        <v>0</v>
      </c>
      <c r="D70" s="86">
        <v>0</v>
      </c>
      <c r="E70" s="25">
        <f t="shared" si="0"/>
        <v>0</v>
      </c>
      <c r="F70" s="25">
        <v>0</v>
      </c>
      <c r="G70" s="27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91">
        <v>0</v>
      </c>
      <c r="C71" s="91">
        <v>0</v>
      </c>
      <c r="D71" s="91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91">
        <v>0</v>
      </c>
      <c r="C72" s="91">
        <v>0</v>
      </c>
      <c r="D72" s="91">
        <v>-96174.4</v>
      </c>
      <c r="E72" s="26">
        <v>0</v>
      </c>
      <c r="F72" s="26">
        <v>-2269.2</v>
      </c>
      <c r="G72" s="26">
        <v>-53815.7</v>
      </c>
      <c r="H72" s="25">
        <f t="shared" si="1"/>
        <v>0</v>
      </c>
      <c r="I72" s="26">
        <f t="shared" si="2"/>
        <v>-96174.4</v>
      </c>
    </row>
    <row r="73" spans="1:9" ht="12.75">
      <c r="A73" s="47" t="s">
        <v>20</v>
      </c>
      <c r="B73" s="91">
        <f>B9+B11+B12+B13+B14+B15+B17+B18+B19+B20+B22+B23+B24+B25+B27+B28+B30+B31+B32+B39+B40+B41+B42+B43+B44+B45+B46+B47+B49+B50+B51+B52+B63+B67+B68+B69+B70+B71+B72</f>
        <v>3137613.1</v>
      </c>
      <c r="C73" s="91">
        <f>C9+C11+C12+C13+C14+C15+C17+C18+C19+C20+C22+C23+C24+C25+C27+C28+C30+C31+C32+C39+C40+C41+C42+C43+C44+C45+C46+C47+C49+C50+C51+C52+C63+C67+C68+C69+C70+C71+C72</f>
        <v>86453</v>
      </c>
      <c r="D73" s="91">
        <f>D9+D11+D12+D13+D14+D15+D17+D18+D19+D20+D22+D23+D24+D25+D27+D28+D30+D31+D32+D39+D40+D41+D42+D43+D44+D45+D46+D47+D49+D50+D51+D52+D63+D67+D68+D69+D70+D71+D72+D36</f>
        <v>1058.2099999999884</v>
      </c>
      <c r="E73" s="25">
        <f>D73/B73*100</f>
        <v>0.03372659299516528</v>
      </c>
      <c r="F73" s="25">
        <v>71521.66</v>
      </c>
      <c r="G73" s="26">
        <f>G9+G11+G12+G13+G14+G15+G17+G18+G19+G20+G22+G23+G24+G25+G27+G28+G30+G31+G32+G39+G40+G41+G42+G43+G44+G45+G46+G47+G49+G50+G51+G52+G63+G67+G68+G69+G70+G71+G72+G36</f>
        <v>45349.58</v>
      </c>
      <c r="H73" s="25">
        <f>C73/G73*100</f>
        <v>190.6368261844983</v>
      </c>
      <c r="I73" s="33">
        <f>D73</f>
        <v>1058.2099999999884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12" t="s">
        <v>22</v>
      </c>
      <c r="B78" s="113"/>
      <c r="C78" s="113"/>
      <c r="D78" s="113"/>
      <c r="E78" s="113"/>
      <c r="F78" s="113"/>
      <c r="G78" s="113"/>
      <c r="H78" s="113"/>
      <c r="I78" s="114"/>
    </row>
    <row r="79" spans="1:9" ht="12.75">
      <c r="A79" s="82" t="s">
        <v>23</v>
      </c>
      <c r="B79" s="83">
        <f>B80+B81+B82+B83+B84+B85+B86+B87</f>
        <v>181060.2</v>
      </c>
      <c r="C79" s="83">
        <f>C80+C81+C82+C83+C84+C85+C86+C87</f>
        <v>7009.4</v>
      </c>
      <c r="D79" s="83">
        <f>D80+D81+D82+D83+D84+D85+D86+D87</f>
        <v>2912.2</v>
      </c>
      <c r="E79" s="84">
        <f>$D:$D/$B:$B*100</f>
        <v>1.6084153226385476</v>
      </c>
      <c r="F79" s="84">
        <f>$D:$D/$C:$C*100</f>
        <v>41.54706536936114</v>
      </c>
      <c r="G79" s="33">
        <f>G80+G81+G82+G83+G84+G85+G86+G87</f>
        <v>4040.7699999999995</v>
      </c>
      <c r="H79" s="84">
        <f>$D:$D/$G:$G*100</f>
        <v>72.07042222150729</v>
      </c>
      <c r="I79" s="83">
        <f>I80+I81+I82+I83+I84+I85+I86+I87</f>
        <v>2921.2</v>
      </c>
    </row>
    <row r="80" spans="1:9" ht="14.25" customHeight="1">
      <c r="A80" s="85" t="s">
        <v>24</v>
      </c>
      <c r="B80" s="86">
        <v>3337.9</v>
      </c>
      <c r="C80" s="86">
        <v>273.5</v>
      </c>
      <c r="D80" s="86">
        <v>105.6</v>
      </c>
      <c r="E80" s="87">
        <f>$D:$D/$B:$B*100</f>
        <v>3.1636657778842983</v>
      </c>
      <c r="F80" s="87">
        <v>0</v>
      </c>
      <c r="G80" s="27">
        <v>84.67</v>
      </c>
      <c r="H80" s="87">
        <v>0</v>
      </c>
      <c r="I80" s="88">
        <f>D80</f>
        <v>105.6</v>
      </c>
    </row>
    <row r="81" spans="1:9" ht="12.75">
      <c r="A81" s="85" t="s">
        <v>25</v>
      </c>
      <c r="B81" s="86">
        <v>7965.3</v>
      </c>
      <c r="C81" s="86">
        <v>266</v>
      </c>
      <c r="D81" s="86">
        <v>93.9</v>
      </c>
      <c r="E81" s="87">
        <f>$D:$D/$B:$B*100</f>
        <v>1.1788633196489775</v>
      </c>
      <c r="F81" s="87">
        <f>$D:$D/$C:$C*100</f>
        <v>35.30075187969925</v>
      </c>
      <c r="G81" s="27">
        <v>179.94</v>
      </c>
      <c r="H81" s="87">
        <f>$D:$D/$G:$G*100</f>
        <v>52.18406135378459</v>
      </c>
      <c r="I81" s="88">
        <f>D81</f>
        <v>93.9</v>
      </c>
    </row>
    <row r="82" spans="1:9" ht="25.5">
      <c r="A82" s="85" t="s">
        <v>26</v>
      </c>
      <c r="B82" s="86">
        <v>78523.2</v>
      </c>
      <c r="C82" s="86">
        <v>4161.7</v>
      </c>
      <c r="D82" s="86">
        <v>1410</v>
      </c>
      <c r="E82" s="87">
        <f>$D:$D/$B:$B*100</f>
        <v>1.7956476557246774</v>
      </c>
      <c r="F82" s="87">
        <f>$D:$D/$C:$C*100</f>
        <v>33.88038541941995</v>
      </c>
      <c r="G82" s="27">
        <v>1766.43</v>
      </c>
      <c r="H82" s="87">
        <f>$D:$D/$G:$G*100</f>
        <v>79.8220138924271</v>
      </c>
      <c r="I82" s="88">
        <f aca="true" t="shared" si="3" ref="I82:I126">D82</f>
        <v>1410</v>
      </c>
    </row>
    <row r="83" spans="1:9" ht="12.75">
      <c r="A83" s="85" t="s">
        <v>72</v>
      </c>
      <c r="B83" s="86">
        <v>42.4</v>
      </c>
      <c r="C83" s="86">
        <v>0</v>
      </c>
      <c r="D83" s="86">
        <v>0</v>
      </c>
      <c r="E83" s="87">
        <v>0</v>
      </c>
      <c r="F83" s="87">
        <v>0</v>
      </c>
      <c r="G83" s="27">
        <v>0</v>
      </c>
      <c r="H83" s="87">
        <v>0</v>
      </c>
      <c r="I83" s="88">
        <f>D84</f>
        <v>319.3</v>
      </c>
    </row>
    <row r="84" spans="1:9" ht="25.5">
      <c r="A84" s="89" t="s">
        <v>27</v>
      </c>
      <c r="B84" s="86">
        <v>19469.3</v>
      </c>
      <c r="C84" s="86">
        <v>1111.8</v>
      </c>
      <c r="D84" s="86">
        <v>319.3</v>
      </c>
      <c r="E84" s="87">
        <f>$D:$D/$B:$B*100</f>
        <v>1.640017874294402</v>
      </c>
      <c r="F84" s="87">
        <v>0</v>
      </c>
      <c r="G84" s="27">
        <v>838.99</v>
      </c>
      <c r="H84" s="87">
        <f>$D:$D/$G:$G*100</f>
        <v>38.0576645728793</v>
      </c>
      <c r="I84" s="88">
        <f>D85</f>
        <v>0</v>
      </c>
    </row>
    <row r="85" spans="1:9" ht="12.75" customHeight="1" hidden="1">
      <c r="A85" s="85" t="s">
        <v>28</v>
      </c>
      <c r="B85" s="86">
        <v>0</v>
      </c>
      <c r="C85" s="86">
        <v>0</v>
      </c>
      <c r="D85" s="86">
        <v>0</v>
      </c>
      <c r="E85" s="87">
        <v>0</v>
      </c>
      <c r="F85" s="87">
        <v>0</v>
      </c>
      <c r="G85" s="27">
        <v>0</v>
      </c>
      <c r="H85" s="87">
        <v>0</v>
      </c>
      <c r="I85" s="88">
        <f>D86</f>
        <v>0</v>
      </c>
    </row>
    <row r="86" spans="1:9" ht="12.75">
      <c r="A86" s="85" t="s">
        <v>29</v>
      </c>
      <c r="B86" s="86">
        <v>4938</v>
      </c>
      <c r="C86" s="86">
        <v>0</v>
      </c>
      <c r="D86" s="86">
        <v>0</v>
      </c>
      <c r="E86" s="87">
        <f>$D:$D/$B:$B*100</f>
        <v>0</v>
      </c>
      <c r="F86" s="87">
        <v>0</v>
      </c>
      <c r="G86" s="27">
        <v>0</v>
      </c>
      <c r="H86" s="87">
        <v>0</v>
      </c>
      <c r="I86" s="88">
        <f>D87</f>
        <v>983.4</v>
      </c>
    </row>
    <row r="87" spans="1:9" ht="12.75">
      <c r="A87" s="89" t="s">
        <v>30</v>
      </c>
      <c r="B87" s="86">
        <v>66784.1</v>
      </c>
      <c r="C87" s="86">
        <v>1196.4</v>
      </c>
      <c r="D87" s="86">
        <v>983.4</v>
      </c>
      <c r="E87" s="87">
        <f>$D:$D/$B:$B*100</f>
        <v>1.47250618036329</v>
      </c>
      <c r="F87" s="87">
        <f>$D:$D/$C:$C*100</f>
        <v>82.19658976930792</v>
      </c>
      <c r="G87" s="27">
        <v>1170.74</v>
      </c>
      <c r="H87" s="87">
        <f>$D:$D/$G:$G*100</f>
        <v>83.99815501306865</v>
      </c>
      <c r="I87" s="88">
        <f>D88</f>
        <v>9</v>
      </c>
    </row>
    <row r="88" spans="1:9" ht="12.75">
      <c r="A88" s="82" t="s">
        <v>31</v>
      </c>
      <c r="B88" s="91">
        <v>619.8</v>
      </c>
      <c r="C88" s="91">
        <v>30.8</v>
      </c>
      <c r="D88" s="91">
        <v>9</v>
      </c>
      <c r="E88" s="84">
        <f>$D:$D/$B:$B*100</f>
        <v>1.4520813165537272</v>
      </c>
      <c r="F88" s="84">
        <f>$D:$D/$C:$C*100</f>
        <v>29.22077922077922</v>
      </c>
      <c r="G88" s="27">
        <v>47.44</v>
      </c>
      <c r="H88" s="84">
        <v>0</v>
      </c>
      <c r="I88" s="83">
        <f>D88</f>
        <v>9</v>
      </c>
    </row>
    <row r="89" spans="1:9" ht="25.5">
      <c r="A89" s="90" t="s">
        <v>32</v>
      </c>
      <c r="B89" s="91">
        <v>5655.1</v>
      </c>
      <c r="C89" s="91">
        <v>145</v>
      </c>
      <c r="D89" s="91">
        <v>130.3</v>
      </c>
      <c r="E89" s="84">
        <f>$D:$D/$B:$B*100</f>
        <v>2.304114869763576</v>
      </c>
      <c r="F89" s="84">
        <f>$D:$D/$C:$C*100</f>
        <v>89.86206896551725</v>
      </c>
      <c r="G89" s="26">
        <v>120</v>
      </c>
      <c r="H89" s="84">
        <f>$D:$D/$G:$G*100</f>
        <v>108.58333333333334</v>
      </c>
      <c r="I89" s="83">
        <f t="shared" si="3"/>
        <v>130.3</v>
      </c>
    </row>
    <row r="90" spans="1:9" ht="12.75">
      <c r="A90" s="82" t="s">
        <v>33</v>
      </c>
      <c r="B90" s="83">
        <f>B91+B92+B93+B94+B95</f>
        <v>301827.2</v>
      </c>
      <c r="C90" s="83">
        <f>C91+C92+C93+C94+C95</f>
        <v>2371</v>
      </c>
      <c r="D90" s="83">
        <f>D91+D92+D93+D94+D95</f>
        <v>1771</v>
      </c>
      <c r="E90" s="84">
        <f>$D:$D/$B:$B*100</f>
        <v>0.5867595763403696</v>
      </c>
      <c r="F90" s="84">
        <f>$D:$D/$C:$C*100</f>
        <v>74.69422184732181</v>
      </c>
      <c r="G90" s="33">
        <f>G91+G92+G93+G94+G95</f>
        <v>2485.29</v>
      </c>
      <c r="H90" s="84">
        <f>$D:$D/$G:$G*100</f>
        <v>71.25928966036157</v>
      </c>
      <c r="I90" s="83">
        <f t="shared" si="3"/>
        <v>1771</v>
      </c>
    </row>
    <row r="91" spans="1:9" ht="12.75" customHeight="1" hidden="1">
      <c r="A91" s="92" t="s">
        <v>64</v>
      </c>
      <c r="B91" s="88"/>
      <c r="C91" s="88"/>
      <c r="D91" s="88"/>
      <c r="E91" s="87">
        <v>0</v>
      </c>
      <c r="F91" s="87">
        <v>0</v>
      </c>
      <c r="G91" s="34"/>
      <c r="H91" s="87">
        <v>0</v>
      </c>
      <c r="I91" s="88">
        <f t="shared" si="3"/>
        <v>0</v>
      </c>
    </row>
    <row r="92" spans="1:9" ht="12.75" customHeight="1">
      <c r="A92" s="92" t="s">
        <v>67</v>
      </c>
      <c r="B92" s="86">
        <v>14613.1</v>
      </c>
      <c r="C92" s="86">
        <v>0</v>
      </c>
      <c r="D92" s="86">
        <v>0</v>
      </c>
      <c r="E92" s="87">
        <v>0</v>
      </c>
      <c r="F92" s="87">
        <v>0</v>
      </c>
      <c r="G92" s="27">
        <v>0</v>
      </c>
      <c r="H92" s="87">
        <v>0</v>
      </c>
      <c r="I92" s="88">
        <f t="shared" si="3"/>
        <v>0</v>
      </c>
    </row>
    <row r="93" spans="1:9" ht="12.75">
      <c r="A93" s="85" t="s">
        <v>34</v>
      </c>
      <c r="B93" s="86">
        <v>30850</v>
      </c>
      <c r="C93" s="86">
        <v>0</v>
      </c>
      <c r="D93" s="86">
        <v>0</v>
      </c>
      <c r="E93" s="87">
        <f>$D:$D/$B:$B*100</f>
        <v>0</v>
      </c>
      <c r="F93" s="87">
        <v>0</v>
      </c>
      <c r="G93" s="27">
        <v>0</v>
      </c>
      <c r="H93" s="87">
        <v>0</v>
      </c>
      <c r="I93" s="88">
        <f t="shared" si="3"/>
        <v>0</v>
      </c>
    </row>
    <row r="94" spans="1:9" ht="12.75">
      <c r="A94" s="92" t="s">
        <v>77</v>
      </c>
      <c r="B94" s="86">
        <v>236748.6</v>
      </c>
      <c r="C94" s="86">
        <v>1393.4</v>
      </c>
      <c r="D94" s="86">
        <v>1393.4</v>
      </c>
      <c r="E94" s="87">
        <f>$D:$D/$B:$B*100</f>
        <v>0.5885568066717185</v>
      </c>
      <c r="F94" s="87">
        <f>$D:$D/$C:$C*100</f>
        <v>100</v>
      </c>
      <c r="G94" s="27">
        <v>2186.85</v>
      </c>
      <c r="H94" s="87">
        <v>0</v>
      </c>
      <c r="I94" s="88">
        <f t="shared" si="3"/>
        <v>1393.4</v>
      </c>
    </row>
    <row r="95" spans="1:9" ht="12.75">
      <c r="A95" s="85" t="s">
        <v>35</v>
      </c>
      <c r="B95" s="86">
        <v>19615.5</v>
      </c>
      <c r="C95" s="86">
        <v>977.6</v>
      </c>
      <c r="D95" s="86">
        <v>377.6</v>
      </c>
      <c r="E95" s="87">
        <f>$D:$D/$B:$B*100</f>
        <v>1.9250082842649947</v>
      </c>
      <c r="F95" s="87">
        <f>$D:$D/$C:$C*100</f>
        <v>38.62520458265139</v>
      </c>
      <c r="G95" s="27">
        <v>298.44</v>
      </c>
      <c r="H95" s="87">
        <f>$D:$D/$G:$G*100</f>
        <v>126.5245945583702</v>
      </c>
      <c r="I95" s="88">
        <f t="shared" si="3"/>
        <v>377.6</v>
      </c>
    </row>
    <row r="96" spans="1:9" ht="12.75">
      <c r="A96" s="82" t="s">
        <v>36</v>
      </c>
      <c r="B96" s="83">
        <f>B98+B99+B100+B97</f>
        <v>136917.7</v>
      </c>
      <c r="C96" s="86">
        <f>C98+C99+C100+C97</f>
        <v>3899.8999999999996</v>
      </c>
      <c r="D96" s="83">
        <f>D98+D99+D100+D97</f>
        <v>2378.3</v>
      </c>
      <c r="E96" s="83">
        <f>E99+E100+E97</f>
        <v>4.865030775493814</v>
      </c>
      <c r="F96" s="84">
        <f>$D:$D/$C:$C*100</f>
        <v>60.98361496448628</v>
      </c>
      <c r="G96" s="33">
        <f>G98+G99+G100+G97</f>
        <v>3132.88</v>
      </c>
      <c r="H96" s="83">
        <f>H98+H99+H100</f>
        <v>148.11145289890607</v>
      </c>
      <c r="I96" s="83">
        <f>D96</f>
        <v>2378.3</v>
      </c>
    </row>
    <row r="97" spans="1:9" ht="12.75">
      <c r="A97" s="85" t="s">
        <v>37</v>
      </c>
      <c r="B97" s="86">
        <v>1058.6</v>
      </c>
      <c r="C97" s="86">
        <v>0</v>
      </c>
      <c r="D97" s="86">
        <v>0</v>
      </c>
      <c r="E97" s="93">
        <v>0</v>
      </c>
      <c r="F97" s="87">
        <v>0</v>
      </c>
      <c r="G97" s="27">
        <v>0</v>
      </c>
      <c r="H97" s="87">
        <v>0</v>
      </c>
      <c r="I97" s="88">
        <f t="shared" si="3"/>
        <v>0</v>
      </c>
    </row>
    <row r="98" spans="1:9" ht="12.75">
      <c r="A98" s="85" t="s">
        <v>38</v>
      </c>
      <c r="B98" s="86">
        <v>2316.7</v>
      </c>
      <c r="C98" s="86">
        <v>0</v>
      </c>
      <c r="D98" s="86">
        <v>0</v>
      </c>
      <c r="E98" s="87">
        <f>$D:$D/$B:$B*100</f>
        <v>0</v>
      </c>
      <c r="F98" s="87">
        <v>0</v>
      </c>
      <c r="G98" s="27">
        <v>0</v>
      </c>
      <c r="H98" s="87">
        <v>0</v>
      </c>
      <c r="I98" s="88">
        <f t="shared" si="3"/>
        <v>0</v>
      </c>
    </row>
    <row r="99" spans="1:9" ht="12.75">
      <c r="A99" s="85" t="s">
        <v>39</v>
      </c>
      <c r="B99" s="86">
        <v>114332.7</v>
      </c>
      <c r="C99" s="86">
        <v>1735.3</v>
      </c>
      <c r="D99" s="86">
        <v>1735.3</v>
      </c>
      <c r="E99" s="87">
        <f>$D:$D/$B:$B*100</f>
        <v>1.5177635094771662</v>
      </c>
      <c r="F99" s="87">
        <f>$D:$D/$C:$C*100</f>
        <v>100</v>
      </c>
      <c r="G99" s="27">
        <v>1662.43</v>
      </c>
      <c r="H99" s="87">
        <f>$D:$D/$G:$G*100</f>
        <v>104.38334245652447</v>
      </c>
      <c r="I99" s="88">
        <f t="shared" si="3"/>
        <v>1735.3</v>
      </c>
    </row>
    <row r="100" spans="1:9" ht="12.75">
      <c r="A100" s="85" t="s">
        <v>40</v>
      </c>
      <c r="B100" s="86">
        <v>19209.7</v>
      </c>
      <c r="C100" s="86">
        <v>2164.6</v>
      </c>
      <c r="D100" s="86">
        <v>643</v>
      </c>
      <c r="E100" s="87">
        <f>$D:$D/$B:$B*100</f>
        <v>3.347267266016648</v>
      </c>
      <c r="F100" s="87">
        <f>$D:$D/$C:$C*100</f>
        <v>29.70525732236903</v>
      </c>
      <c r="G100" s="27">
        <v>1470.45</v>
      </c>
      <c r="H100" s="87">
        <f>$D:$D/$G:$G*100</f>
        <v>43.728110442381585</v>
      </c>
      <c r="I100" s="88">
        <f t="shared" si="3"/>
        <v>643</v>
      </c>
    </row>
    <row r="101" spans="1:9" ht="12.75">
      <c r="A101" s="94" t="s">
        <v>115</v>
      </c>
      <c r="B101" s="83">
        <f>B102</f>
        <v>2227.8</v>
      </c>
      <c r="C101" s="83">
        <f>C102</f>
        <v>0</v>
      </c>
      <c r="D101" s="83">
        <f>D102</f>
        <v>0</v>
      </c>
      <c r="E101" s="84">
        <f>$D:$D/$B:$B*100</f>
        <v>0</v>
      </c>
      <c r="F101" s="84"/>
      <c r="G101" s="33">
        <f>G102</f>
        <v>0</v>
      </c>
      <c r="H101" s="84">
        <v>0</v>
      </c>
      <c r="I101" s="83">
        <f t="shared" si="3"/>
        <v>0</v>
      </c>
    </row>
    <row r="102" spans="1:9" ht="38.25">
      <c r="A102" s="95" t="s">
        <v>154</v>
      </c>
      <c r="B102" s="86">
        <f>2189.4+38.4</f>
        <v>2227.8</v>
      </c>
      <c r="C102" s="86">
        <v>0</v>
      </c>
      <c r="D102" s="86">
        <v>0</v>
      </c>
      <c r="E102" s="87">
        <f>$D:$D/$B:$B*100</f>
        <v>0</v>
      </c>
      <c r="F102" s="87"/>
      <c r="G102" s="27">
        <v>0</v>
      </c>
      <c r="H102" s="87">
        <v>0</v>
      </c>
      <c r="I102" s="88">
        <f t="shared" si="3"/>
        <v>0</v>
      </c>
    </row>
    <row r="103" spans="1:9" ht="12.75">
      <c r="A103" s="94" t="s">
        <v>41</v>
      </c>
      <c r="B103" s="83">
        <f>B104+B105+B107+B108+B109+B106</f>
        <v>1999901.9000000001</v>
      </c>
      <c r="C103" s="83">
        <f>C104+C105+C107+C108+C109+C106</f>
        <v>61141.3</v>
      </c>
      <c r="D103" s="83">
        <f>D104+D105+D107+D108+D109+D106</f>
        <v>59579.700000000004</v>
      </c>
      <c r="E103" s="83">
        <f>E104+E105+E108+E109+E107</f>
        <v>11.195272330549093</v>
      </c>
      <c r="F103" s="83" t="e">
        <f>F104+F105+F108+F109+F107</f>
        <v>#DIV/0!</v>
      </c>
      <c r="G103" s="33">
        <f>G104+G105+G107+G108+G109+G106</f>
        <v>53904.37</v>
      </c>
      <c r="H103" s="83">
        <f>H104+H105+H108+H109+H107</f>
        <v>467.8493409804436</v>
      </c>
      <c r="I103" s="83">
        <f t="shared" si="3"/>
        <v>59579.700000000004</v>
      </c>
    </row>
    <row r="104" spans="1:9" ht="12.75">
      <c r="A104" s="85" t="s">
        <v>42</v>
      </c>
      <c r="B104" s="86">
        <v>753500.7</v>
      </c>
      <c r="C104" s="86">
        <v>24767.3</v>
      </c>
      <c r="D104" s="86">
        <v>24767.3</v>
      </c>
      <c r="E104" s="87">
        <f aca="true" t="shared" si="4" ref="E104:E122">$D:$D/$B:$B*100</f>
        <v>3.286964431486261</v>
      </c>
      <c r="F104" s="87">
        <f aca="true" t="shared" si="5" ref="F104:F112">$D:$D/$C:$C*100</f>
        <v>100</v>
      </c>
      <c r="G104" s="27">
        <v>22377.35</v>
      </c>
      <c r="H104" s="87">
        <f>$D:$D/$G:$G*100</f>
        <v>110.68021906079137</v>
      </c>
      <c r="I104" s="88">
        <f t="shared" si="3"/>
        <v>24767.3</v>
      </c>
    </row>
    <row r="105" spans="1:9" ht="12.75">
      <c r="A105" s="85" t="s">
        <v>43</v>
      </c>
      <c r="B105" s="86">
        <v>817349</v>
      </c>
      <c r="C105" s="86">
        <v>23976.8</v>
      </c>
      <c r="D105" s="86">
        <v>23976.8</v>
      </c>
      <c r="E105" s="87">
        <f t="shared" si="4"/>
        <v>2.9334837382807097</v>
      </c>
      <c r="F105" s="87">
        <f t="shared" si="5"/>
        <v>100</v>
      </c>
      <c r="G105" s="27">
        <v>21556.46</v>
      </c>
      <c r="H105" s="87">
        <f>$D:$D/$G:$G*100</f>
        <v>111.22791033407155</v>
      </c>
      <c r="I105" s="88">
        <f t="shared" si="3"/>
        <v>23976.8</v>
      </c>
    </row>
    <row r="106" spans="1:9" ht="12.75">
      <c r="A106" s="96" t="s">
        <v>105</v>
      </c>
      <c r="B106" s="86">
        <v>156963.6</v>
      </c>
      <c r="C106" s="86">
        <v>4377.5</v>
      </c>
      <c r="D106" s="86">
        <v>4377.5</v>
      </c>
      <c r="E106" s="87">
        <f t="shared" si="4"/>
        <v>2.788863150437426</v>
      </c>
      <c r="F106" s="87">
        <f t="shared" si="5"/>
        <v>100</v>
      </c>
      <c r="G106" s="27">
        <v>3873.36</v>
      </c>
      <c r="H106" s="87">
        <f>$D:$D/$G:$G*100</f>
        <v>113.01557304252638</v>
      </c>
      <c r="I106" s="88">
        <f t="shared" si="3"/>
        <v>4377.5</v>
      </c>
    </row>
    <row r="107" spans="1:9" ht="25.5">
      <c r="A107" s="85" t="s">
        <v>123</v>
      </c>
      <c r="B107" s="86">
        <v>397.1</v>
      </c>
      <c r="C107" s="86">
        <v>0</v>
      </c>
      <c r="D107" s="86">
        <v>0</v>
      </c>
      <c r="E107" s="87">
        <f t="shared" si="4"/>
        <v>0</v>
      </c>
      <c r="F107" s="87" t="e">
        <f t="shared" si="5"/>
        <v>#DIV/0!</v>
      </c>
      <c r="G107" s="27">
        <v>0</v>
      </c>
      <c r="H107" s="87">
        <v>0</v>
      </c>
      <c r="I107" s="88">
        <f t="shared" si="3"/>
        <v>0</v>
      </c>
    </row>
    <row r="108" spans="1:9" ht="12.75">
      <c r="A108" s="85" t="s">
        <v>44</v>
      </c>
      <c r="B108" s="86">
        <v>24061.7</v>
      </c>
      <c r="C108" s="86">
        <v>630.8</v>
      </c>
      <c r="D108" s="86">
        <v>630.8</v>
      </c>
      <c r="E108" s="87">
        <f t="shared" si="4"/>
        <v>2.6215936529837873</v>
      </c>
      <c r="F108" s="87">
        <f t="shared" si="5"/>
        <v>100</v>
      </c>
      <c r="G108" s="27">
        <v>441.4</v>
      </c>
      <c r="H108" s="87">
        <f>$D:$D/$G:$G*100</f>
        <v>142.908926144087</v>
      </c>
      <c r="I108" s="88">
        <f t="shared" si="3"/>
        <v>630.8</v>
      </c>
    </row>
    <row r="109" spans="1:9" ht="12.75">
      <c r="A109" s="85" t="s">
        <v>45</v>
      </c>
      <c r="B109" s="86">
        <v>247629.8</v>
      </c>
      <c r="C109" s="86">
        <v>7388.9</v>
      </c>
      <c r="D109" s="86">
        <v>5827.3</v>
      </c>
      <c r="E109" s="87">
        <f t="shared" si="4"/>
        <v>2.3532305077983344</v>
      </c>
      <c r="F109" s="87">
        <f t="shared" si="5"/>
        <v>78.86559569083356</v>
      </c>
      <c r="G109" s="27">
        <v>5655.8</v>
      </c>
      <c r="H109" s="87">
        <f>$D:$D/$G:$G*100</f>
        <v>103.0322854414937</v>
      </c>
      <c r="I109" s="88">
        <f t="shared" si="3"/>
        <v>5827.3</v>
      </c>
    </row>
    <row r="110" spans="1:9" ht="25.5">
      <c r="A110" s="94" t="s">
        <v>46</v>
      </c>
      <c r="B110" s="83">
        <f>B111+B112</f>
        <v>199339.80000000002</v>
      </c>
      <c r="C110" s="83">
        <f>C111+C112</f>
        <v>6226.6</v>
      </c>
      <c r="D110" s="83">
        <f>D111+D112</f>
        <v>6205.1</v>
      </c>
      <c r="E110" s="84">
        <f t="shared" si="4"/>
        <v>3.112825436766767</v>
      </c>
      <c r="F110" s="84">
        <f t="shared" si="5"/>
        <v>99.65470722384609</v>
      </c>
      <c r="G110" s="33">
        <f>G111+G112</f>
        <v>5108.65</v>
      </c>
      <c r="H110" s="84">
        <f>$D:$D/$G:$G*100</f>
        <v>121.46261732551653</v>
      </c>
      <c r="I110" s="83">
        <f t="shared" si="3"/>
        <v>6205.1</v>
      </c>
    </row>
    <row r="111" spans="1:9" ht="12.75">
      <c r="A111" s="85" t="s">
        <v>47</v>
      </c>
      <c r="B111" s="86">
        <v>178644.7</v>
      </c>
      <c r="C111" s="86">
        <v>6136.6</v>
      </c>
      <c r="D111" s="86">
        <v>6136.6</v>
      </c>
      <c r="E111" s="87">
        <f t="shared" si="4"/>
        <v>3.435086515301042</v>
      </c>
      <c r="F111" s="87">
        <f t="shared" si="5"/>
        <v>100</v>
      </c>
      <c r="G111" s="27">
        <v>5020.7</v>
      </c>
      <c r="H111" s="87">
        <f>$D:$D/$G:$G*100</f>
        <v>122.22598442448265</v>
      </c>
      <c r="I111" s="88">
        <f t="shared" si="3"/>
        <v>6136.6</v>
      </c>
    </row>
    <row r="112" spans="1:9" ht="25.5">
      <c r="A112" s="85" t="s">
        <v>48</v>
      </c>
      <c r="B112" s="86">
        <v>20695.1</v>
      </c>
      <c r="C112" s="86">
        <v>90</v>
      </c>
      <c r="D112" s="86">
        <v>68.5</v>
      </c>
      <c r="E112" s="87">
        <f t="shared" si="4"/>
        <v>0.33099622615981567</v>
      </c>
      <c r="F112" s="87">
        <f t="shared" si="5"/>
        <v>76.11111111111111</v>
      </c>
      <c r="G112" s="27">
        <v>87.95</v>
      </c>
      <c r="H112" s="87">
        <v>0</v>
      </c>
      <c r="I112" s="88">
        <f t="shared" si="3"/>
        <v>68.5</v>
      </c>
    </row>
    <row r="113" spans="1:9" ht="12.75">
      <c r="A113" s="94" t="s">
        <v>97</v>
      </c>
      <c r="B113" s="83">
        <f>B114</f>
        <v>127.01</v>
      </c>
      <c r="C113" s="83">
        <f>C114</f>
        <v>0</v>
      </c>
      <c r="D113" s="83">
        <f>D114</f>
        <v>0</v>
      </c>
      <c r="E113" s="84">
        <f t="shared" si="4"/>
        <v>0</v>
      </c>
      <c r="F113" s="84">
        <v>0</v>
      </c>
      <c r="G113" s="33">
        <f>G114</f>
        <v>0</v>
      </c>
      <c r="H113" s="84">
        <v>0</v>
      </c>
      <c r="I113" s="88">
        <f t="shared" si="3"/>
        <v>0</v>
      </c>
    </row>
    <row r="114" spans="1:9" ht="12.75">
      <c r="A114" s="85" t="s">
        <v>98</v>
      </c>
      <c r="B114" s="86">
        <v>127.01</v>
      </c>
      <c r="C114" s="86">
        <v>0</v>
      </c>
      <c r="D114" s="86">
        <v>0</v>
      </c>
      <c r="E114" s="87">
        <f t="shared" si="4"/>
        <v>0</v>
      </c>
      <c r="F114" s="87">
        <v>0</v>
      </c>
      <c r="G114" s="27">
        <v>0</v>
      </c>
      <c r="H114" s="87">
        <v>0</v>
      </c>
      <c r="I114" s="88">
        <f t="shared" si="3"/>
        <v>0</v>
      </c>
    </row>
    <row r="115" spans="1:9" ht="12.75">
      <c r="A115" s="94" t="s">
        <v>49</v>
      </c>
      <c r="B115" s="83">
        <f>B116+B117+B118+B119+B120</f>
        <v>196267.5</v>
      </c>
      <c r="C115" s="83">
        <f>C116+C117+C118+C119+C120</f>
        <v>429</v>
      </c>
      <c r="D115" s="83">
        <f>D116+D117+D118+D119+D120</f>
        <v>253</v>
      </c>
      <c r="E115" s="84">
        <f t="shared" si="4"/>
        <v>0.12890570267619447</v>
      </c>
      <c r="F115" s="84">
        <f>$D:$D/$C:$C*100</f>
        <v>58.97435897435898</v>
      </c>
      <c r="G115" s="33">
        <f>G116+G117+G118+G119+G120</f>
        <v>704.29</v>
      </c>
      <c r="H115" s="84">
        <v>0</v>
      </c>
      <c r="I115" s="88">
        <f t="shared" si="3"/>
        <v>253</v>
      </c>
    </row>
    <row r="116" spans="1:9" ht="12.75">
      <c r="A116" s="85" t="s">
        <v>50</v>
      </c>
      <c r="B116" s="86">
        <v>4302.5</v>
      </c>
      <c r="C116" s="86">
        <v>2</v>
      </c>
      <c r="D116" s="86">
        <v>2</v>
      </c>
      <c r="E116" s="87">
        <f t="shared" si="4"/>
        <v>0.046484601975595584</v>
      </c>
      <c r="F116" s="87">
        <v>0</v>
      </c>
      <c r="G116" s="27">
        <v>0</v>
      </c>
      <c r="H116" s="87">
        <v>0</v>
      </c>
      <c r="I116" s="88">
        <f t="shared" si="3"/>
        <v>2</v>
      </c>
    </row>
    <row r="117" spans="1:9" ht="12.75" customHeight="1" hidden="1">
      <c r="A117" s="85" t="s">
        <v>51</v>
      </c>
      <c r="B117" s="86"/>
      <c r="C117" s="86"/>
      <c r="D117" s="86"/>
      <c r="E117" s="87" t="e">
        <f t="shared" si="4"/>
        <v>#DIV/0!</v>
      </c>
      <c r="F117" s="87" t="e">
        <f>$D:$D/$C:$C*100</f>
        <v>#DIV/0!</v>
      </c>
      <c r="G117" s="27"/>
      <c r="H117" s="87" t="e">
        <f>$D:$D/$G:$G*100</f>
        <v>#DIV/0!</v>
      </c>
      <c r="I117" s="88">
        <f t="shared" si="3"/>
        <v>0</v>
      </c>
    </row>
    <row r="118" spans="1:9" ht="12.75">
      <c r="A118" s="85" t="s">
        <v>52</v>
      </c>
      <c r="B118" s="86">
        <v>130524.1</v>
      </c>
      <c r="C118" s="86">
        <v>212</v>
      </c>
      <c r="D118" s="86">
        <v>212</v>
      </c>
      <c r="E118" s="87">
        <f t="shared" si="4"/>
        <v>0.1624221120850479</v>
      </c>
      <c r="F118" s="87">
        <f>$D:$D/$C:$C*100</f>
        <v>100</v>
      </c>
      <c r="G118" s="27">
        <v>357</v>
      </c>
      <c r="H118" s="87">
        <v>0</v>
      </c>
      <c r="I118" s="88">
        <f t="shared" si="3"/>
        <v>212</v>
      </c>
    </row>
    <row r="119" spans="1:9" ht="12.75">
      <c r="A119" s="85" t="s">
        <v>53</v>
      </c>
      <c r="B119" s="86">
        <v>58566.6</v>
      </c>
      <c r="C119" s="86">
        <v>51</v>
      </c>
      <c r="D119" s="86">
        <v>0</v>
      </c>
      <c r="E119" s="87">
        <f t="shared" si="4"/>
        <v>0</v>
      </c>
      <c r="F119" s="87">
        <v>0</v>
      </c>
      <c r="G119" s="27">
        <v>310</v>
      </c>
      <c r="H119" s="87">
        <v>0</v>
      </c>
      <c r="I119" s="88">
        <f t="shared" si="3"/>
        <v>0</v>
      </c>
    </row>
    <row r="120" spans="1:9" ht="12.75">
      <c r="A120" s="85" t="s">
        <v>54</v>
      </c>
      <c r="B120" s="86">
        <v>2874.3</v>
      </c>
      <c r="C120" s="86">
        <v>164</v>
      </c>
      <c r="D120" s="86">
        <v>39</v>
      </c>
      <c r="E120" s="87">
        <f t="shared" si="4"/>
        <v>1.3568521031207597</v>
      </c>
      <c r="F120" s="87">
        <f>$D:$D/$C:$C*100</f>
        <v>23.78048780487805</v>
      </c>
      <c r="G120" s="27">
        <v>37.29</v>
      </c>
      <c r="H120" s="87">
        <f>$D:$D/$G:$G*100</f>
        <v>104.58567980691875</v>
      </c>
      <c r="I120" s="88">
        <f t="shared" si="3"/>
        <v>39</v>
      </c>
    </row>
    <row r="121" spans="1:9" ht="12.75">
      <c r="A121" s="94" t="s">
        <v>61</v>
      </c>
      <c r="B121" s="91">
        <f>B122+B123+B124</f>
        <v>113569.1</v>
      </c>
      <c r="C121" s="86">
        <f>C122+C123+C124</f>
        <v>5389.4</v>
      </c>
      <c r="D121" s="86">
        <f>D122+D123+D124</f>
        <v>5166.3</v>
      </c>
      <c r="E121" s="84">
        <f t="shared" si="4"/>
        <v>4.549036665783211</v>
      </c>
      <c r="F121" s="84">
        <f>$D:$D/$C:$C*100</f>
        <v>95.8603926225554</v>
      </c>
      <c r="G121" s="27">
        <f>G122+G123+G124</f>
        <v>5375.37</v>
      </c>
      <c r="H121" s="84">
        <f>$D:$D/$G:$G*100</f>
        <v>96.11059331729723</v>
      </c>
      <c r="I121" s="88">
        <f t="shared" si="3"/>
        <v>5166.3</v>
      </c>
    </row>
    <row r="122" spans="1:9" ht="12.75">
      <c r="A122" s="97" t="s">
        <v>63</v>
      </c>
      <c r="B122" s="86">
        <v>44855.5</v>
      </c>
      <c r="C122" s="86">
        <v>2868.2</v>
      </c>
      <c r="D122" s="86">
        <v>2868.1</v>
      </c>
      <c r="E122" s="87">
        <f t="shared" si="4"/>
        <v>6.394087681555217</v>
      </c>
      <c r="F122" s="87">
        <f>$D:$D/$C:$C*100</f>
        <v>99.99651349278294</v>
      </c>
      <c r="G122" s="27">
        <v>3278.66</v>
      </c>
      <c r="H122" s="87">
        <v>0</v>
      </c>
      <c r="I122" s="88">
        <f t="shared" si="3"/>
        <v>2868.1</v>
      </c>
    </row>
    <row r="123" spans="1:9" ht="24.75" customHeight="1">
      <c r="A123" s="97" t="s">
        <v>150</v>
      </c>
      <c r="B123" s="86">
        <v>63239.8</v>
      </c>
      <c r="C123" s="86">
        <v>2207.5</v>
      </c>
      <c r="D123" s="86">
        <v>2207.5</v>
      </c>
      <c r="E123" s="87">
        <v>0</v>
      </c>
      <c r="F123" s="87">
        <v>0</v>
      </c>
      <c r="G123" s="27">
        <v>1839.46</v>
      </c>
      <c r="H123" s="87">
        <v>0</v>
      </c>
      <c r="I123" s="88">
        <f t="shared" si="3"/>
        <v>2207.5</v>
      </c>
    </row>
    <row r="124" spans="1:9" ht="25.5">
      <c r="A124" s="98" t="s">
        <v>73</v>
      </c>
      <c r="B124" s="86">
        <v>5473.8</v>
      </c>
      <c r="C124" s="86">
        <v>313.7</v>
      </c>
      <c r="D124" s="86">
        <v>90.7</v>
      </c>
      <c r="E124" s="87">
        <f>$D:$D/$B:$B*100</f>
        <v>1.6569841791808249</v>
      </c>
      <c r="F124" s="87">
        <f>$D:$D/$C:$C*100</f>
        <v>28.912974179152055</v>
      </c>
      <c r="G124" s="27">
        <v>257.25</v>
      </c>
      <c r="H124" s="87">
        <v>0</v>
      </c>
      <c r="I124" s="88">
        <f t="shared" si="3"/>
        <v>90.7</v>
      </c>
    </row>
    <row r="125" spans="1:9" ht="26.25" customHeight="1">
      <c r="A125" s="99" t="s">
        <v>80</v>
      </c>
      <c r="B125" s="91">
        <f>B126</f>
        <v>100</v>
      </c>
      <c r="C125" s="91">
        <f>C126</f>
        <v>0</v>
      </c>
      <c r="D125" s="91">
        <f>D126</f>
        <v>0</v>
      </c>
      <c r="E125" s="87">
        <f>$D:$D/$B:$B*100</f>
        <v>0</v>
      </c>
      <c r="F125" s="87">
        <v>0</v>
      </c>
      <c r="G125" s="26">
        <f>G126</f>
        <v>0</v>
      </c>
      <c r="H125" s="87">
        <v>0</v>
      </c>
      <c r="I125" s="88">
        <f t="shared" si="3"/>
        <v>0</v>
      </c>
    </row>
    <row r="126" spans="1:9" ht="13.5" customHeight="1">
      <c r="A126" s="98" t="s">
        <v>81</v>
      </c>
      <c r="B126" s="86">
        <v>100</v>
      </c>
      <c r="C126" s="86">
        <v>0</v>
      </c>
      <c r="D126" s="86">
        <v>0</v>
      </c>
      <c r="E126" s="87">
        <f>$D:$D/$B:$B*100</f>
        <v>0</v>
      </c>
      <c r="F126" s="87">
        <v>0</v>
      </c>
      <c r="G126" s="27">
        <v>0</v>
      </c>
      <c r="H126" s="87">
        <v>0</v>
      </c>
      <c r="I126" s="88">
        <f t="shared" si="3"/>
        <v>0</v>
      </c>
    </row>
    <row r="127" spans="1:9" ht="15.75" customHeight="1">
      <c r="A127" s="100" t="s">
        <v>55</v>
      </c>
      <c r="B127" s="83">
        <f>B79+B88+B89+B90+B96+B103+B110+B113+B115+B121+B125+B101</f>
        <v>3137613.11</v>
      </c>
      <c r="C127" s="83">
        <f>C79+C88+C89+C90+C96+C103+C110+C113+C115+C121+C125+C101</f>
        <v>86642.40000000001</v>
      </c>
      <c r="D127" s="83">
        <f>D79+D88+D89+D90+D96+D103+D110+D113+D115+D121+D125+D101</f>
        <v>78404.90000000001</v>
      </c>
      <c r="E127" s="84">
        <f>$D:$D/$B:$B*100</f>
        <v>2.4988708693915425</v>
      </c>
      <c r="F127" s="84">
        <f>$D:$D/$C:$C*100</f>
        <v>90.49253021615283</v>
      </c>
      <c r="G127" s="33">
        <f>G79+G88+G89+G90+G96+G103+G110+G113+G115+G121+G125+G101</f>
        <v>74919.05999999998</v>
      </c>
      <c r="H127" s="84">
        <f>$D:$D/$G:$G*100</f>
        <v>104.65280797703551</v>
      </c>
      <c r="I127" s="83">
        <f>I79+I88+I89+I90+I96+I103+I110+I113+I115+I121+I125</f>
        <v>78413.90000000001</v>
      </c>
    </row>
    <row r="128" spans="1:9" ht="26.25" customHeight="1">
      <c r="A128" s="101" t="s">
        <v>56</v>
      </c>
      <c r="B128" s="102">
        <f>B73-B127</f>
        <v>-0.009999999776482582</v>
      </c>
      <c r="C128" s="102">
        <f>C73-C127</f>
        <v>-189.40000000000873</v>
      </c>
      <c r="D128" s="102">
        <f>D73-D127</f>
        <v>-77346.69000000002</v>
      </c>
      <c r="E128" s="102"/>
      <c r="F128" s="102"/>
      <c r="G128" s="78">
        <f>G73-G127</f>
        <v>-29569.47999999998</v>
      </c>
      <c r="H128" s="102"/>
      <c r="I128" s="102">
        <f>I73-I127</f>
        <v>-77355.69000000002</v>
      </c>
    </row>
    <row r="129" spans="1:9" ht="24" customHeight="1">
      <c r="A129" s="89" t="s">
        <v>57</v>
      </c>
      <c r="B129" s="86" t="s">
        <v>159</v>
      </c>
      <c r="C129" s="86"/>
      <c r="D129" s="86" t="s">
        <v>158</v>
      </c>
      <c r="E129" s="86"/>
      <c r="F129" s="86"/>
      <c r="G129" s="27" t="s">
        <v>152</v>
      </c>
      <c r="H129" s="91"/>
      <c r="I129" s="86"/>
    </row>
    <row r="130" spans="1:9" ht="12.75">
      <c r="A130" s="103" t="s">
        <v>58</v>
      </c>
      <c r="B130" s="104">
        <f>B132+B133</f>
        <v>123468</v>
      </c>
      <c r="C130" s="104">
        <f>C132+C133</f>
        <v>0</v>
      </c>
      <c r="D130" s="104">
        <f>D132+D133</f>
        <v>46121</v>
      </c>
      <c r="E130" s="86"/>
      <c r="F130" s="86"/>
      <c r="G130" s="76">
        <f>G132+G133</f>
        <v>69654.1</v>
      </c>
      <c r="H130" s="105"/>
      <c r="I130" s="91">
        <f>I132+I133</f>
        <v>46121</v>
      </c>
    </row>
    <row r="131" spans="1:9" ht="12" customHeight="1">
      <c r="A131" s="89" t="s">
        <v>6</v>
      </c>
      <c r="B131" s="106"/>
      <c r="C131" s="86"/>
      <c r="D131" s="86"/>
      <c r="E131" s="86"/>
      <c r="F131" s="86"/>
      <c r="G131" s="27"/>
      <c r="H131" s="105"/>
      <c r="I131" s="86"/>
    </row>
    <row r="132" spans="1:9" ht="12.75">
      <c r="A132" s="107" t="s">
        <v>59</v>
      </c>
      <c r="B132" s="106">
        <v>96175</v>
      </c>
      <c r="C132" s="86"/>
      <c r="D132" s="86">
        <v>827</v>
      </c>
      <c r="E132" s="86"/>
      <c r="F132" s="86"/>
      <c r="G132" s="27">
        <v>686.9</v>
      </c>
      <c r="H132" s="105"/>
      <c r="I132" s="86">
        <f>D132</f>
        <v>827</v>
      </c>
    </row>
    <row r="133" spans="1:9" ht="12.75">
      <c r="A133" s="89" t="s">
        <v>60</v>
      </c>
      <c r="B133" s="106">
        <v>27293</v>
      </c>
      <c r="C133" s="86"/>
      <c r="D133" s="86">
        <v>45294</v>
      </c>
      <c r="E133" s="86"/>
      <c r="F133" s="86"/>
      <c r="G133" s="27">
        <f>69654.1-G132</f>
        <v>68967.20000000001</v>
      </c>
      <c r="H133" s="105"/>
      <c r="I133" s="86">
        <f>D133</f>
        <v>45294</v>
      </c>
    </row>
    <row r="134" spans="1:9" ht="12.75">
      <c r="A134" s="3" t="s">
        <v>99</v>
      </c>
      <c r="B134" s="26">
        <f>B135-B136</f>
        <v>0</v>
      </c>
      <c r="C134" s="26">
        <f>C135-C136</f>
        <v>0</v>
      </c>
      <c r="D134" s="26">
        <f>D135-D136</f>
        <v>0</v>
      </c>
      <c r="E134" s="26"/>
      <c r="F134" s="26"/>
      <c r="G134" s="26">
        <f>G135-G136</f>
        <v>0</v>
      </c>
      <c r="H134" s="79"/>
      <c r="I134" s="26"/>
    </row>
    <row r="135" spans="1:9" ht="12.75">
      <c r="A135" s="2" t="s">
        <v>100</v>
      </c>
      <c r="B135" s="27">
        <v>109910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109910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" sqref="K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5" t="s">
        <v>102</v>
      </c>
      <c r="B1" s="115"/>
      <c r="C1" s="115"/>
      <c r="D1" s="115"/>
      <c r="E1" s="115"/>
      <c r="F1" s="115"/>
      <c r="G1" s="115"/>
      <c r="H1" s="115"/>
      <c r="I1" s="29"/>
    </row>
    <row r="2" spans="1:9" ht="15">
      <c r="A2" s="116" t="s">
        <v>160</v>
      </c>
      <c r="B2" s="116"/>
      <c r="C2" s="116"/>
      <c r="D2" s="116"/>
      <c r="E2" s="116"/>
      <c r="F2" s="116"/>
      <c r="G2" s="116"/>
      <c r="H2" s="116"/>
      <c r="I2" s="30"/>
    </row>
    <row r="3" spans="1:9" ht="5.25" customHeight="1" hidden="1">
      <c r="A3" s="117" t="s">
        <v>0</v>
      </c>
      <c r="B3" s="117"/>
      <c r="C3" s="117"/>
      <c r="D3" s="117"/>
      <c r="E3" s="117"/>
      <c r="F3" s="117"/>
      <c r="G3" s="117"/>
      <c r="H3" s="117"/>
      <c r="I3" s="31"/>
    </row>
    <row r="4" spans="1:9" ht="45" customHeight="1">
      <c r="A4" s="4" t="s">
        <v>1</v>
      </c>
      <c r="B4" s="109" t="s">
        <v>2</v>
      </c>
      <c r="C4" s="109" t="s">
        <v>161</v>
      </c>
      <c r="D4" s="109" t="s">
        <v>68</v>
      </c>
      <c r="E4" s="109" t="s">
        <v>66</v>
      </c>
      <c r="F4" s="109" t="s">
        <v>69</v>
      </c>
      <c r="G4" s="109" t="s">
        <v>157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8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83">
        <f>B8+B16+B21+B26+B29+B37+B46+B47+B48+B52+B63</f>
        <v>888969.7</v>
      </c>
      <c r="C7" s="83">
        <f>C8+C16+C21+C26+C29+C37+C46+C47+C48+C52+C63</f>
        <v>72882.59999999999</v>
      </c>
      <c r="D7" s="83">
        <f>D8+D16+D21+D26+D29+D37+D46+D47+D48+D52+D63+D36</f>
        <v>95552.60000000002</v>
      </c>
      <c r="E7" s="25">
        <f>D7/B7*100</f>
        <v>10.748690309692224</v>
      </c>
      <c r="F7" s="25">
        <v>27699.089999999997</v>
      </c>
      <c r="G7" s="33">
        <f>G8+G16+G21+G26+G29+G37+G46+G47+G48+G52+G63+G36</f>
        <v>27281.94</v>
      </c>
      <c r="H7" s="25">
        <f>C7/G7*100</f>
        <v>267.14595809535535</v>
      </c>
      <c r="I7" s="33">
        <f>D7-Январь!D7</f>
        <v>53675.290000000015</v>
      </c>
    </row>
    <row r="8" spans="1:9" ht="12.75">
      <c r="A8" s="47" t="s">
        <v>4</v>
      </c>
      <c r="B8" s="84">
        <f>B9+B10</f>
        <v>442056.7</v>
      </c>
      <c r="C8" s="84">
        <f>C9+C10</f>
        <v>38550</v>
      </c>
      <c r="D8" s="84">
        <f>D9+D10</f>
        <v>45819.200000000004</v>
      </c>
      <c r="E8" s="25">
        <f aca="true" t="shared" si="0" ref="E8:E70">D8/B8*100</f>
        <v>10.365005213132163</v>
      </c>
      <c r="F8" s="25">
        <v>10645.39</v>
      </c>
      <c r="G8" s="25">
        <f>G9+G10</f>
        <v>16037.699999999999</v>
      </c>
      <c r="H8" s="25">
        <f aca="true" t="shared" si="1" ref="H8:H72">C8/G8*100</f>
        <v>240.37112553545708</v>
      </c>
      <c r="I8" s="33">
        <f>D8-Январь!D8</f>
        <v>38185</v>
      </c>
    </row>
    <row r="9" spans="1:9" ht="25.5">
      <c r="A9" s="48" t="s">
        <v>5</v>
      </c>
      <c r="B9" s="86">
        <v>16315</v>
      </c>
      <c r="C9" s="86">
        <v>0</v>
      </c>
      <c r="D9" s="86">
        <v>4151.8</v>
      </c>
      <c r="E9" s="27">
        <f t="shared" si="0"/>
        <v>25.447747471651855</v>
      </c>
      <c r="F9" s="25">
        <v>200.86</v>
      </c>
      <c r="G9" s="27">
        <v>390.19</v>
      </c>
      <c r="H9" s="25">
        <f t="shared" si="1"/>
        <v>0</v>
      </c>
      <c r="I9" s="33">
        <f>D9-Январь!D9</f>
        <v>3042.5</v>
      </c>
    </row>
    <row r="10" spans="1:9" ht="12.75" customHeight="1">
      <c r="A10" s="49" t="s">
        <v>70</v>
      </c>
      <c r="B10" s="108">
        <f>SUM(B11:B15)</f>
        <v>425741.7</v>
      </c>
      <c r="C10" s="108">
        <f>SUM(C11:C15)</f>
        <v>38550</v>
      </c>
      <c r="D10" s="108">
        <f>SUM(D11:D15)</f>
        <v>41667.4</v>
      </c>
      <c r="E10" s="25">
        <f t="shared" si="0"/>
        <v>9.787014051007924</v>
      </c>
      <c r="F10" s="25">
        <v>10444.529999999999</v>
      </c>
      <c r="G10" s="42">
        <f>SUM(G11:G15)</f>
        <v>15647.509999999998</v>
      </c>
      <c r="H10" s="25">
        <f t="shared" si="1"/>
        <v>246.3650766160239</v>
      </c>
      <c r="I10" s="33">
        <f>D10-Январь!D10</f>
        <v>35142.5</v>
      </c>
    </row>
    <row r="11" spans="1:9" ht="51">
      <c r="A11" s="51" t="s">
        <v>74</v>
      </c>
      <c r="B11" s="86">
        <v>396322.2</v>
      </c>
      <c r="C11" s="86">
        <f>18000+20000</f>
        <v>38000</v>
      </c>
      <c r="D11" s="86">
        <v>40727.6</v>
      </c>
      <c r="E11" s="27">
        <f t="shared" si="0"/>
        <v>10.276386233221354</v>
      </c>
      <c r="F11" s="27">
        <v>10058</v>
      </c>
      <c r="G11" s="27">
        <v>15536.5</v>
      </c>
      <c r="H11" s="25">
        <f t="shared" si="1"/>
        <v>244.5853313165771</v>
      </c>
      <c r="I11" s="33">
        <f>D11-Январь!D11</f>
        <v>34681.6</v>
      </c>
    </row>
    <row r="12" spans="1:9" ht="51" customHeight="1">
      <c r="A12" s="51" t="s">
        <v>75</v>
      </c>
      <c r="B12" s="86">
        <v>3510.8</v>
      </c>
      <c r="C12" s="86">
        <v>0</v>
      </c>
      <c r="D12" s="86">
        <v>-70.9</v>
      </c>
      <c r="E12" s="27">
        <f t="shared" si="0"/>
        <v>-2.0194827389768717</v>
      </c>
      <c r="F12" s="27">
        <v>81.56</v>
      </c>
      <c r="G12" s="27">
        <v>-213.27</v>
      </c>
      <c r="H12" s="25">
        <f t="shared" si="1"/>
        <v>0</v>
      </c>
      <c r="I12" s="33">
        <f>D12-Январь!D12</f>
        <v>-94.9</v>
      </c>
    </row>
    <row r="13" spans="1:9" ht="25.5">
      <c r="A13" s="51" t="s">
        <v>76</v>
      </c>
      <c r="B13" s="86">
        <v>6038.2</v>
      </c>
      <c r="C13" s="86">
        <v>0</v>
      </c>
      <c r="D13" s="86">
        <v>181.4</v>
      </c>
      <c r="E13" s="27">
        <f t="shared" si="0"/>
        <v>3.0042065516213445</v>
      </c>
      <c r="F13" s="27">
        <v>117.15</v>
      </c>
      <c r="G13" s="27">
        <v>-181.79</v>
      </c>
      <c r="H13" s="25">
        <f t="shared" si="1"/>
        <v>0</v>
      </c>
      <c r="I13" s="33">
        <f>D13-Январь!D13</f>
        <v>58.2</v>
      </c>
    </row>
    <row r="14" spans="1:9" ht="63.75">
      <c r="A14" s="51" t="s">
        <v>78</v>
      </c>
      <c r="B14" s="86">
        <v>4309.2</v>
      </c>
      <c r="C14" s="86">
        <v>550</v>
      </c>
      <c r="D14" s="86">
        <v>422.9</v>
      </c>
      <c r="E14" s="27">
        <f t="shared" si="0"/>
        <v>9.813886568272533</v>
      </c>
      <c r="F14" s="27">
        <v>187.82</v>
      </c>
      <c r="G14" s="27">
        <v>462.49</v>
      </c>
      <c r="H14" s="25">
        <f t="shared" si="1"/>
        <v>118.92149019438259</v>
      </c>
      <c r="I14" s="33">
        <f>D14-Январь!D14</f>
        <v>232.29999999999998</v>
      </c>
    </row>
    <row r="15" spans="1:9" ht="37.5" customHeight="1">
      <c r="A15" s="51" t="s">
        <v>145</v>
      </c>
      <c r="B15" s="86">
        <v>15561.3</v>
      </c>
      <c r="C15" s="86">
        <v>0</v>
      </c>
      <c r="D15" s="86">
        <v>406.4</v>
      </c>
      <c r="E15" s="27">
        <f t="shared" si="0"/>
        <v>2.611606999415216</v>
      </c>
      <c r="F15" s="27"/>
      <c r="G15" s="27">
        <f>-14.92+58.5</f>
        <v>43.58</v>
      </c>
      <c r="H15" s="25">
        <f t="shared" si="1"/>
        <v>0</v>
      </c>
      <c r="I15" s="33">
        <f>D15-Январь!D15</f>
        <v>265.29999999999995</v>
      </c>
    </row>
    <row r="16" spans="1:9" ht="39.75" customHeight="1">
      <c r="A16" s="53" t="s">
        <v>82</v>
      </c>
      <c r="B16" s="91">
        <f>SUM(B17:B20)</f>
        <v>69497.8</v>
      </c>
      <c r="C16" s="91">
        <f>SUM(C17:C20)</f>
        <v>12076.5</v>
      </c>
      <c r="D16" s="91">
        <f>SUM(D17:D20)</f>
        <v>12076.5</v>
      </c>
      <c r="E16" s="25">
        <f t="shared" si="0"/>
        <v>17.376809050070648</v>
      </c>
      <c r="F16" s="25">
        <v>1853.18</v>
      </c>
      <c r="G16" s="26">
        <f>SUM(G17:G20)</f>
        <v>7512.55</v>
      </c>
      <c r="H16" s="25">
        <f t="shared" si="1"/>
        <v>160.7510099766391</v>
      </c>
      <c r="I16" s="33">
        <f>D16-Январь!D16</f>
        <v>6050</v>
      </c>
    </row>
    <row r="17" spans="1:9" ht="37.5" customHeight="1">
      <c r="A17" s="37" t="s">
        <v>83</v>
      </c>
      <c r="B17" s="86">
        <v>36246</v>
      </c>
      <c r="C17" s="86">
        <v>5810.2</v>
      </c>
      <c r="D17" s="86">
        <v>5810.2</v>
      </c>
      <c r="E17" s="27">
        <f t="shared" si="0"/>
        <v>16.02990674833085</v>
      </c>
      <c r="F17" s="27">
        <v>844.23</v>
      </c>
      <c r="G17" s="27">
        <v>3910.14</v>
      </c>
      <c r="H17" s="25">
        <f t="shared" si="1"/>
        <v>148.59314500248072</v>
      </c>
      <c r="I17" s="33">
        <f>D17-Январь!D17</f>
        <v>2932.6</v>
      </c>
    </row>
    <row r="18" spans="1:9" ht="56.25" customHeight="1">
      <c r="A18" s="37" t="s">
        <v>84</v>
      </c>
      <c r="B18" s="86">
        <v>172.7</v>
      </c>
      <c r="C18" s="86">
        <v>28.8</v>
      </c>
      <c r="D18" s="86">
        <v>28.8</v>
      </c>
      <c r="E18" s="27">
        <f t="shared" si="0"/>
        <v>16.67631731325999</v>
      </c>
      <c r="F18" s="27">
        <v>5.74</v>
      </c>
      <c r="G18" s="27">
        <v>14.11</v>
      </c>
      <c r="H18" s="25">
        <f t="shared" si="1"/>
        <v>204.11055988660527</v>
      </c>
      <c r="I18" s="33">
        <f>D18-Январь!D18</f>
        <v>15.8</v>
      </c>
    </row>
    <row r="19" spans="1:9" ht="55.5" customHeight="1">
      <c r="A19" s="37" t="s">
        <v>85</v>
      </c>
      <c r="B19" s="86">
        <v>37583</v>
      </c>
      <c r="C19" s="86">
        <v>6767.4</v>
      </c>
      <c r="D19" s="86">
        <v>6767.4</v>
      </c>
      <c r="E19" s="27">
        <f t="shared" si="0"/>
        <v>18.00654551259878</v>
      </c>
      <c r="F19" s="27">
        <v>1158.41</v>
      </c>
      <c r="G19" s="27">
        <v>3983.35</v>
      </c>
      <c r="H19" s="25">
        <f t="shared" si="1"/>
        <v>169.89217618336326</v>
      </c>
      <c r="I19" s="33">
        <f>D19-Январь!D19</f>
        <v>3338.7999999999997</v>
      </c>
    </row>
    <row r="20" spans="1:9" ht="15.75" customHeight="1">
      <c r="A20" s="37" t="s">
        <v>86</v>
      </c>
      <c r="B20" s="86">
        <v>-4503.9</v>
      </c>
      <c r="C20" s="86">
        <v>-529.9</v>
      </c>
      <c r="D20" s="86">
        <v>-529.9</v>
      </c>
      <c r="E20" s="27">
        <f t="shared" si="0"/>
        <v>11.765358911165878</v>
      </c>
      <c r="F20" s="27">
        <v>-155.2</v>
      </c>
      <c r="G20" s="27">
        <v>-395.05</v>
      </c>
      <c r="H20" s="25">
        <f t="shared" si="1"/>
        <v>134.1349196304265</v>
      </c>
      <c r="I20" s="33">
        <f>D20-Январь!D20</f>
        <v>-237.2</v>
      </c>
    </row>
    <row r="21" spans="1:9" ht="12.75">
      <c r="A21" s="54" t="s">
        <v>7</v>
      </c>
      <c r="B21" s="91">
        <f>SUM(B22:B25)</f>
        <v>196455.5</v>
      </c>
      <c r="C21" s="91">
        <f>SUM(C22:C25)</f>
        <v>10000</v>
      </c>
      <c r="D21" s="91">
        <f>SUM(D22:D25)</f>
        <v>16466.2</v>
      </c>
      <c r="E21" s="25">
        <f t="shared" si="0"/>
        <v>8.381643680120945</v>
      </c>
      <c r="F21" s="25">
        <v>7362.96</v>
      </c>
      <c r="G21" s="26">
        <f>SUM(G22:G25)</f>
        <v>-2865.5</v>
      </c>
      <c r="H21" s="25">
        <f t="shared" si="1"/>
        <v>-348.9792357354737</v>
      </c>
      <c r="I21" s="33">
        <f>D21-Январь!D21</f>
        <v>-1763.5</v>
      </c>
    </row>
    <row r="22" spans="1:9" ht="28.5" customHeight="1">
      <c r="A22" s="51" t="s">
        <v>146</v>
      </c>
      <c r="B22" s="86">
        <v>163658.5</v>
      </c>
      <c r="C22" s="86">
        <f>2500+4500</f>
        <v>7000</v>
      </c>
      <c r="D22" s="86">
        <v>1070</v>
      </c>
      <c r="E22" s="27">
        <f t="shared" si="0"/>
        <v>0.653800444217685</v>
      </c>
      <c r="F22" s="27"/>
      <c r="G22" s="27">
        <v>-539.57</v>
      </c>
      <c r="H22" s="25">
        <f t="shared" si="1"/>
        <v>-1297.3293548566448</v>
      </c>
      <c r="I22" s="33">
        <f>D22-Январь!D22</f>
        <v>472.1</v>
      </c>
    </row>
    <row r="23" spans="1:9" ht="19.5" customHeight="1">
      <c r="A23" s="51" t="s">
        <v>89</v>
      </c>
      <c r="B23" s="86">
        <v>0</v>
      </c>
      <c r="C23" s="86">
        <v>0</v>
      </c>
      <c r="D23" s="86">
        <v>1.8</v>
      </c>
      <c r="E23" s="27" t="s">
        <v>148</v>
      </c>
      <c r="F23" s="27">
        <v>7198.75</v>
      </c>
      <c r="G23" s="27">
        <v>-798.56</v>
      </c>
      <c r="H23" s="25">
        <f t="shared" si="1"/>
        <v>0</v>
      </c>
      <c r="I23" s="33">
        <f>D23-Январь!D23</f>
        <v>-5</v>
      </c>
    </row>
    <row r="24" spans="1:9" ht="15" customHeight="1">
      <c r="A24" s="51" t="s">
        <v>87</v>
      </c>
      <c r="B24" s="86">
        <v>406.2</v>
      </c>
      <c r="C24" s="86">
        <v>0</v>
      </c>
      <c r="D24" s="86">
        <v>8</v>
      </c>
      <c r="E24" s="27">
        <f t="shared" si="0"/>
        <v>1.9694731659281144</v>
      </c>
      <c r="F24" s="27">
        <v>113.58</v>
      </c>
      <c r="G24" s="27">
        <v>-0.23</v>
      </c>
      <c r="H24" s="25">
        <f t="shared" si="1"/>
        <v>0</v>
      </c>
      <c r="I24" s="33">
        <f>D24-Январь!D24</f>
        <v>8</v>
      </c>
    </row>
    <row r="25" spans="1:9" ht="27" customHeight="1">
      <c r="A25" s="51" t="s">
        <v>88</v>
      </c>
      <c r="B25" s="86">
        <v>32390.8</v>
      </c>
      <c r="C25" s="86">
        <f>1500+1500</f>
        <v>3000</v>
      </c>
      <c r="D25" s="86">
        <v>15386.4</v>
      </c>
      <c r="E25" s="27">
        <f t="shared" si="0"/>
        <v>47.502377218222456</v>
      </c>
      <c r="F25" s="27">
        <v>50.63</v>
      </c>
      <c r="G25" s="27">
        <v>-1527.14</v>
      </c>
      <c r="H25" s="25">
        <f t="shared" si="1"/>
        <v>-196.44564349044617</v>
      </c>
      <c r="I25" s="33">
        <f>D25-Январь!D25</f>
        <v>-2238.6000000000004</v>
      </c>
    </row>
    <row r="26" spans="1:9" ht="12.75">
      <c r="A26" s="54" t="s">
        <v>8</v>
      </c>
      <c r="B26" s="91">
        <f>SUM(B27:B28)</f>
        <v>48371.100000000006</v>
      </c>
      <c r="C26" s="91">
        <f>SUM(C27:C28)</f>
        <v>500</v>
      </c>
      <c r="D26" s="91">
        <f>SUM(D27:D28)</f>
        <v>5327.8</v>
      </c>
      <c r="E26" s="25">
        <f t="shared" si="0"/>
        <v>11.014428036575557</v>
      </c>
      <c r="F26" s="25">
        <v>2465.82</v>
      </c>
      <c r="G26" s="26">
        <f>SUM(G27:G28)</f>
        <v>1023.62</v>
      </c>
      <c r="H26" s="25">
        <f t="shared" si="1"/>
        <v>48.84625153865692</v>
      </c>
      <c r="I26" s="33">
        <f>D26-Январь!D26</f>
        <v>2595.5</v>
      </c>
    </row>
    <row r="27" spans="1:9" ht="12.75">
      <c r="A27" s="51" t="s">
        <v>106</v>
      </c>
      <c r="B27" s="86">
        <v>28982.4</v>
      </c>
      <c r="C27" s="86">
        <v>500</v>
      </c>
      <c r="D27" s="86">
        <v>2593.9</v>
      </c>
      <c r="E27" s="27">
        <f t="shared" si="0"/>
        <v>8.949914430826984</v>
      </c>
      <c r="F27" s="27">
        <v>536.1</v>
      </c>
      <c r="G27" s="27">
        <v>783.83</v>
      </c>
      <c r="H27" s="25">
        <f t="shared" si="1"/>
        <v>63.789342076725816</v>
      </c>
      <c r="I27" s="33">
        <f>D27-Январь!D27</f>
        <v>793.2</v>
      </c>
    </row>
    <row r="28" spans="1:9" ht="12.75">
      <c r="A28" s="51" t="s">
        <v>107</v>
      </c>
      <c r="B28" s="86">
        <v>19388.7</v>
      </c>
      <c r="C28" s="86">
        <v>0</v>
      </c>
      <c r="D28" s="86">
        <v>2733.9</v>
      </c>
      <c r="E28" s="27">
        <f t="shared" si="0"/>
        <v>14.100481208126384</v>
      </c>
      <c r="F28" s="27">
        <v>1929.72</v>
      </c>
      <c r="G28" s="27">
        <v>239.79</v>
      </c>
      <c r="H28" s="25">
        <f t="shared" si="1"/>
        <v>0</v>
      </c>
      <c r="I28" s="33">
        <f>D28-Январь!D28</f>
        <v>1802.3000000000002</v>
      </c>
    </row>
    <row r="29" spans="1:9" ht="12.75">
      <c r="A29" s="47" t="s">
        <v>9</v>
      </c>
      <c r="B29" s="91">
        <f>SUM(B30:B32)</f>
        <v>19050</v>
      </c>
      <c r="C29" s="91">
        <f>SUM(C30:C32)</f>
        <v>3000</v>
      </c>
      <c r="D29" s="91">
        <f>SUM(D30:D32)</f>
        <v>3001.8</v>
      </c>
      <c r="E29" s="26">
        <f t="shared" si="0"/>
        <v>15.757480314960631</v>
      </c>
      <c r="F29" s="26">
        <v>793.07</v>
      </c>
      <c r="G29" s="26">
        <f>SUM(G30:G32)</f>
        <v>2320.39</v>
      </c>
      <c r="H29" s="25">
        <f t="shared" si="1"/>
        <v>129.28861096626</v>
      </c>
      <c r="I29" s="33">
        <f>D29-Январь!D29</f>
        <v>1445.3000000000002</v>
      </c>
    </row>
    <row r="30" spans="1:9" ht="25.5">
      <c r="A30" s="51" t="s">
        <v>10</v>
      </c>
      <c r="B30" s="86">
        <v>19000</v>
      </c>
      <c r="C30" s="86">
        <f>1500+1500</f>
        <v>3000</v>
      </c>
      <c r="D30" s="86">
        <v>3001.8</v>
      </c>
      <c r="E30" s="27">
        <f t="shared" si="0"/>
        <v>15.798947368421054</v>
      </c>
      <c r="F30" s="27">
        <v>793.07</v>
      </c>
      <c r="G30" s="27">
        <v>2305.39</v>
      </c>
      <c r="H30" s="25">
        <f t="shared" si="1"/>
        <v>130.12982618992882</v>
      </c>
      <c r="I30" s="33">
        <f>D30-Январь!D30</f>
        <v>1445.3000000000002</v>
      </c>
    </row>
    <row r="31" spans="1:9" ht="25.5">
      <c r="A31" s="51" t="s">
        <v>91</v>
      </c>
      <c r="B31" s="86">
        <v>0</v>
      </c>
      <c r="C31" s="86">
        <v>0</v>
      </c>
      <c r="D31" s="86">
        <v>0</v>
      </c>
      <c r="E31" s="27" t="s">
        <v>148</v>
      </c>
      <c r="F31" s="27">
        <v>0</v>
      </c>
      <c r="G31" s="27">
        <v>0</v>
      </c>
      <c r="H31" s="25">
        <v>0</v>
      </c>
      <c r="I31" s="33">
        <f>D31-Январь!D31</f>
        <v>0</v>
      </c>
    </row>
    <row r="32" spans="1:9" ht="25.5">
      <c r="A32" s="51" t="s">
        <v>90</v>
      </c>
      <c r="B32" s="86">
        <v>50</v>
      </c>
      <c r="C32" s="86">
        <v>0</v>
      </c>
      <c r="D32" s="86">
        <v>0</v>
      </c>
      <c r="E32" s="27">
        <f t="shared" si="0"/>
        <v>0</v>
      </c>
      <c r="F32" s="27">
        <v>0</v>
      </c>
      <c r="G32" s="27">
        <v>15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81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80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81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149</v>
      </c>
      <c r="B36" s="86">
        <v>0</v>
      </c>
      <c r="C36" s="86">
        <v>0</v>
      </c>
      <c r="D36" s="86">
        <v>0</v>
      </c>
      <c r="E36" s="25">
        <v>0</v>
      </c>
      <c r="F36" s="25"/>
      <c r="G36" s="27">
        <v>-17.04</v>
      </c>
      <c r="H36" s="25">
        <v>0</v>
      </c>
      <c r="I36" s="33">
        <f>D36-Январь!D36</f>
        <v>-0.41</v>
      </c>
    </row>
    <row r="37" spans="1:9" ht="39.75" customHeight="1">
      <c r="A37" s="54" t="s">
        <v>12</v>
      </c>
      <c r="B37" s="91">
        <f>SUM(B39:B45)</f>
        <v>56433.600000000006</v>
      </c>
      <c r="C37" s="91">
        <f>SUM(C39:C45)</f>
        <v>7933.7</v>
      </c>
      <c r="D37" s="91">
        <f>SUM(D39:D45)</f>
        <v>9408.600000000002</v>
      </c>
      <c r="E37" s="26">
        <f t="shared" si="0"/>
        <v>16.67198264863486</v>
      </c>
      <c r="F37" s="26">
        <v>3247.05</v>
      </c>
      <c r="G37" s="26">
        <f>SUM(G39:G45)</f>
        <v>8213.390000000001</v>
      </c>
      <c r="H37" s="25">
        <f t="shared" si="1"/>
        <v>96.59470693586934</v>
      </c>
      <c r="I37" s="33">
        <f>D37-Январь!D37</f>
        <v>4409.000000000003</v>
      </c>
    </row>
    <row r="38" spans="1:9" ht="81.75" customHeight="1" hidden="1">
      <c r="A38" s="51" t="s">
        <v>114</v>
      </c>
      <c r="B38" s="86"/>
      <c r="C38" s="86"/>
      <c r="D38" s="86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86">
        <v>28753.4</v>
      </c>
      <c r="C39" s="86">
        <v>3500</v>
      </c>
      <c r="D39" s="86">
        <v>5238.2</v>
      </c>
      <c r="E39" s="27">
        <f t="shared" si="0"/>
        <v>18.217671649265824</v>
      </c>
      <c r="F39" s="27">
        <v>2393.3</v>
      </c>
      <c r="G39" s="27">
        <v>3159.33</v>
      </c>
      <c r="H39" s="25">
        <f t="shared" si="1"/>
        <v>110.78298246780172</v>
      </c>
      <c r="I39" s="33">
        <f>D39-Январь!D39</f>
        <v>1886</v>
      </c>
    </row>
    <row r="40" spans="1:9" ht="76.5">
      <c r="A40" s="51" t="s">
        <v>125</v>
      </c>
      <c r="B40" s="86">
        <v>6260.4</v>
      </c>
      <c r="C40" s="86">
        <v>1043.5</v>
      </c>
      <c r="D40" s="86">
        <v>940.6</v>
      </c>
      <c r="E40" s="27">
        <f t="shared" si="0"/>
        <v>15.024599067152261</v>
      </c>
      <c r="F40" s="27">
        <v>75.44</v>
      </c>
      <c r="G40" s="27">
        <v>1110.23</v>
      </c>
      <c r="H40" s="25">
        <f t="shared" si="1"/>
        <v>93.98953370022429</v>
      </c>
      <c r="I40" s="33">
        <f>D40-Январь!D40</f>
        <v>851.9</v>
      </c>
    </row>
    <row r="41" spans="1:9" ht="76.5">
      <c r="A41" s="51" t="s">
        <v>118</v>
      </c>
      <c r="B41" s="86">
        <v>571.6</v>
      </c>
      <c r="C41" s="86">
        <v>89.4</v>
      </c>
      <c r="D41" s="86">
        <v>97.3</v>
      </c>
      <c r="E41" s="27">
        <f t="shared" si="0"/>
        <v>17.022393282015393</v>
      </c>
      <c r="F41" s="27">
        <v>3.43</v>
      </c>
      <c r="G41" s="27">
        <v>143.93</v>
      </c>
      <c r="H41" s="25">
        <f t="shared" si="1"/>
        <v>62.11352740915723</v>
      </c>
      <c r="I41" s="33">
        <f>D41-Январь!D41</f>
        <v>63.599999999999994</v>
      </c>
    </row>
    <row r="42" spans="1:9" ht="38.25">
      <c r="A42" s="51" t="s">
        <v>119</v>
      </c>
      <c r="B42" s="86">
        <v>14742.2</v>
      </c>
      <c r="C42" s="86">
        <v>2457</v>
      </c>
      <c r="D42" s="86">
        <v>2454.8</v>
      </c>
      <c r="E42" s="27">
        <f t="shared" si="0"/>
        <v>16.651517412597848</v>
      </c>
      <c r="F42" s="27">
        <v>538.73</v>
      </c>
      <c r="G42" s="27">
        <v>2414.34</v>
      </c>
      <c r="H42" s="25">
        <f t="shared" si="1"/>
        <v>101.76694251845224</v>
      </c>
      <c r="I42" s="33">
        <f>D42-Январь!D42</f>
        <v>1093.3000000000002</v>
      </c>
    </row>
    <row r="43" spans="1:9" ht="51">
      <c r="A43" s="51" t="s">
        <v>147</v>
      </c>
      <c r="B43" s="86">
        <v>68.5</v>
      </c>
      <c r="C43" s="86">
        <v>0</v>
      </c>
      <c r="D43" s="86">
        <v>8.7</v>
      </c>
      <c r="E43" s="27">
        <f t="shared" si="0"/>
        <v>12.700729927007298</v>
      </c>
      <c r="F43" s="27"/>
      <c r="G43" s="27">
        <v>5.51</v>
      </c>
      <c r="H43" s="25" t="s">
        <v>148</v>
      </c>
      <c r="I43" s="33">
        <f>D43-Январь!D43</f>
        <v>2.3999999999999995</v>
      </c>
    </row>
    <row r="44" spans="1:9" ht="51">
      <c r="A44" s="51" t="s">
        <v>120</v>
      </c>
      <c r="B44" s="86">
        <v>332</v>
      </c>
      <c r="C44" s="86">
        <v>0</v>
      </c>
      <c r="D44" s="86">
        <v>125.7</v>
      </c>
      <c r="E44" s="27">
        <f t="shared" si="0"/>
        <v>37.86144578313253</v>
      </c>
      <c r="F44" s="27">
        <v>0</v>
      </c>
      <c r="G44" s="27">
        <v>997.19</v>
      </c>
      <c r="H44" s="25" t="s">
        <v>148</v>
      </c>
      <c r="I44" s="33">
        <f>D44-Январь!D44</f>
        <v>125.7</v>
      </c>
    </row>
    <row r="45" spans="1:9" ht="76.5">
      <c r="A45" s="55" t="s">
        <v>121</v>
      </c>
      <c r="B45" s="86">
        <v>5705.5</v>
      </c>
      <c r="C45" s="86">
        <f>396.9+446.9</f>
        <v>843.8</v>
      </c>
      <c r="D45" s="86">
        <v>543.3</v>
      </c>
      <c r="E45" s="27">
        <f t="shared" si="0"/>
        <v>9.522390675663832</v>
      </c>
      <c r="F45" s="27">
        <v>236.15</v>
      </c>
      <c r="G45" s="27">
        <v>382.86</v>
      </c>
      <c r="H45" s="25">
        <f t="shared" si="1"/>
        <v>220.3938776576294</v>
      </c>
      <c r="I45" s="33">
        <f>D45-Январь!D45</f>
        <v>386.09999999999997</v>
      </c>
    </row>
    <row r="46" spans="1:9" ht="27" customHeight="1">
      <c r="A46" s="48" t="s">
        <v>13</v>
      </c>
      <c r="B46" s="91">
        <v>728.6</v>
      </c>
      <c r="C46" s="83">
        <v>109</v>
      </c>
      <c r="D46" s="83">
        <v>89.4</v>
      </c>
      <c r="E46" s="33">
        <f t="shared" si="0"/>
        <v>12.27010705462531</v>
      </c>
      <c r="F46" s="33">
        <v>43.6</v>
      </c>
      <c r="G46" s="33">
        <v>174.75</v>
      </c>
      <c r="H46" s="33">
        <f t="shared" si="1"/>
        <v>62.374821173104436</v>
      </c>
      <c r="I46" s="33">
        <f>D46-Январь!D46</f>
        <v>84.30000000000001</v>
      </c>
    </row>
    <row r="47" spans="1:9" ht="25.5">
      <c r="A47" s="48" t="s">
        <v>96</v>
      </c>
      <c r="B47" s="91">
        <v>1167</v>
      </c>
      <c r="C47" s="83">
        <f>25.8+94</f>
        <v>119.8</v>
      </c>
      <c r="D47" s="83">
        <v>358.1</v>
      </c>
      <c r="E47" s="33">
        <f t="shared" si="0"/>
        <v>30.685518423307627</v>
      </c>
      <c r="F47" s="33">
        <v>561.58</v>
      </c>
      <c r="G47" s="33">
        <v>120.63</v>
      </c>
      <c r="H47" s="33">
        <f t="shared" si="1"/>
        <v>99.31194561883446</v>
      </c>
      <c r="I47" s="33">
        <f>D47-Январь!D47</f>
        <v>182.3</v>
      </c>
    </row>
    <row r="48" spans="1:9" ht="25.5">
      <c r="A48" s="54" t="s">
        <v>14</v>
      </c>
      <c r="B48" s="91">
        <f>SUM(B49:B51)</f>
        <v>51005.3</v>
      </c>
      <c r="C48" s="83">
        <f>10+50</f>
        <v>60</v>
      </c>
      <c r="D48" s="83">
        <v>908.4</v>
      </c>
      <c r="E48" s="25">
        <f t="shared" si="0"/>
        <v>1.7809913871695684</v>
      </c>
      <c r="F48" s="25">
        <v>585.5</v>
      </c>
      <c r="G48" s="33">
        <f>SUM(G49:G51)</f>
        <v>532.9</v>
      </c>
      <c r="H48" s="25">
        <f t="shared" si="1"/>
        <v>11.259148057796962</v>
      </c>
      <c r="I48" s="33">
        <f>D48-Январь!D48</f>
        <v>852.4</v>
      </c>
    </row>
    <row r="49" spans="1:9" ht="12.75">
      <c r="A49" s="51" t="s">
        <v>94</v>
      </c>
      <c r="B49" s="33">
        <v>0</v>
      </c>
      <c r="C49" s="27">
        <v>0</v>
      </c>
      <c r="D49" s="27">
        <v>0</v>
      </c>
      <c r="E49" s="25">
        <v>0</v>
      </c>
      <c r="F49" s="25">
        <v>0</v>
      </c>
      <c r="G49" s="27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86">
        <v>49605.3</v>
      </c>
      <c r="C50" s="86">
        <v>0</v>
      </c>
      <c r="D50" s="86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86">
        <v>1400</v>
      </c>
      <c r="C51" s="86">
        <f>10+50</f>
        <v>60</v>
      </c>
      <c r="D51" s="86">
        <v>908.4</v>
      </c>
      <c r="E51" s="27">
        <f t="shared" si="0"/>
        <v>64.88571428571429</v>
      </c>
      <c r="F51" s="27">
        <v>548.36</v>
      </c>
      <c r="G51" s="27">
        <v>532.9</v>
      </c>
      <c r="H51" s="25">
        <f t="shared" si="1"/>
        <v>11.259148057796962</v>
      </c>
      <c r="I51" s="33">
        <f>D51-Январь!D51</f>
        <v>852.4</v>
      </c>
    </row>
    <row r="52" spans="1:9" ht="12.75">
      <c r="A52" s="48" t="s">
        <v>15</v>
      </c>
      <c r="B52" s="91">
        <v>4004.1</v>
      </c>
      <c r="C52" s="83">
        <f>198.4+301.8</f>
        <v>500.20000000000005</v>
      </c>
      <c r="D52" s="83">
        <v>2040.8</v>
      </c>
      <c r="E52" s="26">
        <f t="shared" si="0"/>
        <v>50.9677580480008</v>
      </c>
      <c r="F52" s="26">
        <v>179.73</v>
      </c>
      <c r="G52" s="33">
        <v>-4676.34</v>
      </c>
      <c r="H52" s="25">
        <f t="shared" si="1"/>
        <v>-10.696399320836381</v>
      </c>
      <c r="I52" s="33">
        <f>D52-Январь!D52</f>
        <v>1594.6</v>
      </c>
    </row>
    <row r="53" spans="1:9" ht="63.75" hidden="1">
      <c r="A53" s="51" t="s">
        <v>126</v>
      </c>
      <c r="B53" s="91">
        <v>223.07</v>
      </c>
      <c r="C53" s="83">
        <v>20</v>
      </c>
      <c r="D53" s="83"/>
      <c r="E53" s="26">
        <f t="shared" si="0"/>
        <v>0</v>
      </c>
      <c r="F53" s="26"/>
      <c r="G53" s="33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91">
        <v>223.07</v>
      </c>
      <c r="C54" s="83">
        <v>20</v>
      </c>
      <c r="D54" s="83"/>
      <c r="E54" s="26">
        <f t="shared" si="0"/>
        <v>0</v>
      </c>
      <c r="F54" s="26"/>
      <c r="G54" s="33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91">
        <v>223.07</v>
      </c>
      <c r="C55" s="83">
        <v>20</v>
      </c>
      <c r="D55" s="83"/>
      <c r="E55" s="26">
        <f t="shared" si="0"/>
        <v>0</v>
      </c>
      <c r="F55" s="26"/>
      <c r="G55" s="33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91">
        <v>223.07</v>
      </c>
      <c r="C56" s="83">
        <v>20</v>
      </c>
      <c r="D56" s="83"/>
      <c r="E56" s="26">
        <f t="shared" si="0"/>
        <v>0</v>
      </c>
      <c r="F56" s="26"/>
      <c r="G56" s="33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91">
        <v>223.07</v>
      </c>
      <c r="C57" s="83">
        <v>20</v>
      </c>
      <c r="D57" s="83"/>
      <c r="E57" s="26">
        <f t="shared" si="0"/>
        <v>0</v>
      </c>
      <c r="F57" s="26"/>
      <c r="G57" s="33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91">
        <v>223.07</v>
      </c>
      <c r="C58" s="83">
        <v>20</v>
      </c>
      <c r="D58" s="83"/>
      <c r="E58" s="26">
        <f t="shared" si="0"/>
        <v>0</v>
      </c>
      <c r="F58" s="26"/>
      <c r="G58" s="33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91">
        <v>223.07</v>
      </c>
      <c r="C59" s="83">
        <v>20</v>
      </c>
      <c r="D59" s="83"/>
      <c r="E59" s="26">
        <f t="shared" si="0"/>
        <v>0</v>
      </c>
      <c r="F59" s="26"/>
      <c r="G59" s="33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91">
        <v>223.07</v>
      </c>
      <c r="C60" s="83">
        <v>20</v>
      </c>
      <c r="D60" s="83"/>
      <c r="E60" s="26">
        <f t="shared" si="0"/>
        <v>0</v>
      </c>
      <c r="F60" s="26"/>
      <c r="G60" s="33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91">
        <v>223.07</v>
      </c>
      <c r="C61" s="83">
        <v>20</v>
      </c>
      <c r="D61" s="83"/>
      <c r="E61" s="26">
        <f t="shared" si="0"/>
        <v>0</v>
      </c>
      <c r="F61" s="26"/>
      <c r="G61" s="33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91">
        <v>223.07</v>
      </c>
      <c r="C62" s="83">
        <v>20</v>
      </c>
      <c r="D62" s="83"/>
      <c r="E62" s="26">
        <f t="shared" si="0"/>
        <v>0</v>
      </c>
      <c r="F62" s="26"/>
      <c r="G62" s="33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91">
        <v>200</v>
      </c>
      <c r="C63" s="83">
        <f>16.7+16.7</f>
        <v>33.4</v>
      </c>
      <c r="D63" s="83">
        <v>55.8</v>
      </c>
      <c r="E63" s="26">
        <f t="shared" si="0"/>
        <v>27.9</v>
      </c>
      <c r="F63" s="26">
        <v>-38.79</v>
      </c>
      <c r="G63" s="33">
        <v>-1095.11</v>
      </c>
      <c r="H63" s="25" t="s">
        <v>148</v>
      </c>
      <c r="I63" s="33">
        <f>D63-Январь!D63</f>
        <v>40.8</v>
      </c>
    </row>
    <row r="64" spans="1:9" ht="12.75">
      <c r="A64" s="54" t="s">
        <v>17</v>
      </c>
      <c r="B64" s="91">
        <f>B63+B52+B48+B47+B46+B37+B29+B26+B21+B16+B8</f>
        <v>888969.7</v>
      </c>
      <c r="C64" s="91">
        <f>C63+C52+C48+C47+C46+C37+C29+C26+C21+C16+C8</f>
        <v>72882.6</v>
      </c>
      <c r="D64" s="91">
        <f>D63+D52+D48+D47+D46+D37+D29+D26+D21+D16+D8</f>
        <v>95552.6</v>
      </c>
      <c r="E64" s="26">
        <f t="shared" si="0"/>
        <v>10.748690309692222</v>
      </c>
      <c r="F64" s="26">
        <v>27699.089999999997</v>
      </c>
      <c r="G64" s="26">
        <f>G63+G52+G48+G47+G46+G37+G29+G26+G21+G16+G8</f>
        <v>27298.98</v>
      </c>
      <c r="H64" s="25">
        <f t="shared" si="1"/>
        <v>266.9792058164811</v>
      </c>
      <c r="I64" s="33">
        <f>D64-Январь!D64</f>
        <v>53675.70000000001</v>
      </c>
    </row>
    <row r="65" spans="1:9" ht="12.75">
      <c r="A65" s="54" t="s">
        <v>18</v>
      </c>
      <c r="B65" s="91">
        <f>B66+B71+B72</f>
        <v>2369682.7</v>
      </c>
      <c r="C65" s="91">
        <f>C66+C71+C72</f>
        <v>311134.4</v>
      </c>
      <c r="D65" s="91">
        <f>D66+D71+D72</f>
        <v>304995.9</v>
      </c>
      <c r="E65" s="26">
        <f t="shared" si="0"/>
        <v>12.870748476156745</v>
      </c>
      <c r="F65" s="26">
        <v>43822.57000000001</v>
      </c>
      <c r="G65" s="26">
        <f>G66+G71+G72</f>
        <v>340327.71</v>
      </c>
      <c r="H65" s="25">
        <f t="shared" si="1"/>
        <v>91.42200028319762</v>
      </c>
      <c r="I65" s="33">
        <f>D65-Январь!D65</f>
        <v>345815</v>
      </c>
    </row>
    <row r="66" spans="1:9" ht="25.5">
      <c r="A66" s="54" t="s">
        <v>19</v>
      </c>
      <c r="B66" s="91">
        <f>SUM(B67:B70)</f>
        <v>2369682.7</v>
      </c>
      <c r="C66" s="91">
        <f>SUM(C67:C70)</f>
        <v>311134.4</v>
      </c>
      <c r="D66" s="91">
        <f>SUM(D67:D70)</f>
        <v>311134.4</v>
      </c>
      <c r="E66" s="26">
        <f t="shared" si="0"/>
        <v>13.129791596149138</v>
      </c>
      <c r="F66" s="26">
        <v>46091.770000000004</v>
      </c>
      <c r="G66" s="26">
        <f>SUM(G67:G70)</f>
        <v>369882.27</v>
      </c>
      <c r="H66" s="25">
        <f t="shared" si="1"/>
        <v>84.11714354407958</v>
      </c>
      <c r="I66" s="33">
        <f>D66-Январь!D66</f>
        <v>255779.10000000003</v>
      </c>
    </row>
    <row r="67" spans="1:9" ht="12.75">
      <c r="A67" s="51" t="s">
        <v>108</v>
      </c>
      <c r="B67" s="86">
        <v>570775.8</v>
      </c>
      <c r="C67" s="86">
        <f>15460.1+138909</f>
        <v>154369.1</v>
      </c>
      <c r="D67" s="86">
        <v>154369.1</v>
      </c>
      <c r="E67" s="25">
        <f t="shared" si="0"/>
        <v>27.04548791311755</v>
      </c>
      <c r="F67" s="25">
        <v>15902.8</v>
      </c>
      <c r="G67" s="27">
        <v>165354</v>
      </c>
      <c r="H67" s="25">
        <f t="shared" si="1"/>
        <v>93.35673766585629</v>
      </c>
      <c r="I67" s="33">
        <f>D67-Январь!D67</f>
        <v>138909</v>
      </c>
    </row>
    <row r="68" spans="1:9" ht="12.75" customHeight="1">
      <c r="A68" s="51" t="s">
        <v>109</v>
      </c>
      <c r="B68" s="86">
        <v>345105.5</v>
      </c>
      <c r="C68" s="86">
        <f>280.1+7240</f>
        <v>7520.1</v>
      </c>
      <c r="D68" s="86">
        <v>7520.1</v>
      </c>
      <c r="E68" s="25">
        <f t="shared" si="0"/>
        <v>2.1790727762959445</v>
      </c>
      <c r="F68" s="25">
        <v>0</v>
      </c>
      <c r="G68" s="27">
        <v>66950.07</v>
      </c>
      <c r="H68" s="25">
        <f t="shared" si="1"/>
        <v>11.232400503838157</v>
      </c>
      <c r="I68" s="33">
        <f>D68-Январь!D68</f>
        <v>7239.900000000001</v>
      </c>
    </row>
    <row r="69" spans="1:9" ht="18.75" customHeight="1">
      <c r="A69" s="51" t="s">
        <v>110</v>
      </c>
      <c r="B69" s="86">
        <v>1396914.7</v>
      </c>
      <c r="C69" s="86">
        <f>39615+105416.2</f>
        <v>145031.2</v>
      </c>
      <c r="D69" s="86">
        <v>145031.2</v>
      </c>
      <c r="E69" s="25">
        <f t="shared" si="0"/>
        <v>10.382251686520302</v>
      </c>
      <c r="F69" s="25">
        <v>30188.97</v>
      </c>
      <c r="G69" s="27">
        <v>133652.2</v>
      </c>
      <c r="H69" s="25">
        <f t="shared" si="1"/>
        <v>108.51388903437429</v>
      </c>
      <c r="I69" s="33">
        <f>D69-Январь!D69</f>
        <v>105416.20000000001</v>
      </c>
    </row>
    <row r="70" spans="1:9" ht="12.75" customHeight="1">
      <c r="A70" s="2" t="s">
        <v>122</v>
      </c>
      <c r="B70" s="86">
        <v>56886.7</v>
      </c>
      <c r="C70" s="86">
        <v>4214</v>
      </c>
      <c r="D70" s="86">
        <v>4214</v>
      </c>
      <c r="E70" s="25">
        <f t="shared" si="0"/>
        <v>7.407706898097446</v>
      </c>
      <c r="F70" s="25">
        <v>0</v>
      </c>
      <c r="G70" s="27">
        <v>3926</v>
      </c>
      <c r="H70" s="25" t="s">
        <v>148</v>
      </c>
      <c r="I70" s="33">
        <f>D70-Январь!D70</f>
        <v>4214</v>
      </c>
    </row>
    <row r="71" spans="1:9" ht="12.75" customHeight="1">
      <c r="A71" s="54" t="s">
        <v>113</v>
      </c>
      <c r="B71" s="91">
        <v>0</v>
      </c>
      <c r="C71" s="91">
        <v>0</v>
      </c>
      <c r="D71" s="91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91">
        <v>0</v>
      </c>
      <c r="C72" s="83">
        <v>0</v>
      </c>
      <c r="D72" s="83">
        <v>-6138.5</v>
      </c>
      <c r="E72" s="26">
        <v>0</v>
      </c>
      <c r="F72" s="26">
        <v>-2269.2</v>
      </c>
      <c r="G72" s="33">
        <v>-29554.56</v>
      </c>
      <c r="H72" s="25">
        <f t="shared" si="1"/>
        <v>0</v>
      </c>
      <c r="I72" s="33">
        <f>D72-Январь!D72</f>
        <v>90035.9</v>
      </c>
    </row>
    <row r="73" spans="1:9" ht="12.75">
      <c r="A73" s="47" t="s">
        <v>20</v>
      </c>
      <c r="B73" s="91">
        <f>B9+B11+B12+B13+B14+B15+B17+B18+B19+B20+B22+B23+B24+B25+B27+B28+B30+B31+B32+B39+B40+B41+B42+B43+B44+B45+B46+B47+B49+B50+B51+B52+B63+B67+B68+B69+B70+B71+B72</f>
        <v>3258652.4000000004</v>
      </c>
      <c r="C73" s="91">
        <f>C9+C11+C12+C13+C14+C15+C17+C18+C19+C20+C22+C23+C24+C25+C27+C28+C30+C31+C32+C39+C40+C41+C42+C43+C44+C45+C46+C47+C49+C50+C51+C52+C63+C67+C68+C69+C70+C71+C72</f>
        <v>384017</v>
      </c>
      <c r="D73" s="91">
        <f>D9+D11+D12+D13+D14+D15+D17+D18+D19+D20+D22+D23+D24+D25+D27+D28+D30+D31+D32+D39+D40+D41+D42+D43+D44+D45+D46+D47+D49+D50+D51+D52+D63+D67+D68+D69+D70+D71+D72+D36</f>
        <v>400548.5</v>
      </c>
      <c r="E73" s="25">
        <f>D73/B73*100</f>
        <v>12.291844935654996</v>
      </c>
      <c r="F73" s="25">
        <v>71521.66</v>
      </c>
      <c r="G73" s="26">
        <f>G9+G11+G12+G13+G14+G15+G17+G18+G19+G20+G22+G23+G24+G25+G27+G28+G30+G31+G32+G39+G40+G41+G42+G43+G44+G45+G46+G47+G49+G50+G51+G52+G63+G67+G68+G69+G70+G71+G72+G36</f>
        <v>367609.65</v>
      </c>
      <c r="H73" s="25">
        <f>C73/G73*100</f>
        <v>104.46325334495434</v>
      </c>
      <c r="I73" s="33">
        <f>D73-Январь!D73</f>
        <v>399490.29000000004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21" t="s">
        <v>22</v>
      </c>
      <c r="B78" s="122"/>
      <c r="C78" s="122"/>
      <c r="D78" s="122"/>
      <c r="E78" s="122"/>
      <c r="F78" s="122"/>
      <c r="G78" s="122"/>
      <c r="H78" s="122"/>
      <c r="I78" s="123"/>
    </row>
    <row r="79" spans="1:9" ht="12.75">
      <c r="A79" s="7" t="s">
        <v>23</v>
      </c>
      <c r="B79" s="83">
        <f>B80+B81+B82+B83+B84+B85+B86+B87</f>
        <v>184555.2</v>
      </c>
      <c r="C79" s="83">
        <f>C80+C81+C82+C83+C84+C85+C86+C87</f>
        <v>22299</v>
      </c>
      <c r="D79" s="83">
        <f>D80+D81+D82+D83+D84+D85+D86+D87</f>
        <v>18865.5</v>
      </c>
      <c r="E79" s="84">
        <f>$D:$D/$B:$B*100</f>
        <v>10.222144919243673</v>
      </c>
      <c r="F79" s="84">
        <f>$D:$D/$C:$C*100</f>
        <v>84.60244854029328</v>
      </c>
      <c r="G79" s="83">
        <f>G80+G81+G82+G83+G84+G85+G86+G87</f>
        <v>55926.05</v>
      </c>
      <c r="H79" s="25">
        <f>$D:$D/$G:$G*100</f>
        <v>33.73293840705717</v>
      </c>
      <c r="I79" s="33">
        <f>D79-Январь!D79</f>
        <v>15953.3</v>
      </c>
    </row>
    <row r="80" spans="1:9" ht="14.25" customHeight="1">
      <c r="A80" s="8" t="s">
        <v>24</v>
      </c>
      <c r="B80" s="86">
        <v>3337.9</v>
      </c>
      <c r="C80" s="86">
        <f>273.5+270.2</f>
        <v>543.7</v>
      </c>
      <c r="D80" s="86">
        <v>415.6</v>
      </c>
      <c r="E80" s="87">
        <f>$D:$D/$B:$B*100</f>
        <v>12.450942209173432</v>
      </c>
      <c r="F80" s="87">
        <v>0</v>
      </c>
      <c r="G80" s="86">
        <v>411.32</v>
      </c>
      <c r="H80" s="28">
        <v>0</v>
      </c>
      <c r="I80" s="33">
        <f>D80-Январь!D80</f>
        <v>310</v>
      </c>
    </row>
    <row r="81" spans="1:9" ht="12.75">
      <c r="A81" s="8" t="s">
        <v>25</v>
      </c>
      <c r="B81" s="86">
        <v>7965.3</v>
      </c>
      <c r="C81" s="86">
        <f>266+396.2</f>
        <v>662.2</v>
      </c>
      <c r="D81" s="86">
        <v>504.7</v>
      </c>
      <c r="E81" s="87">
        <f>$D:$D/$B:$B*100</f>
        <v>6.3362334124264</v>
      </c>
      <c r="F81" s="87">
        <f>$D:$D/$C:$C*100</f>
        <v>76.21564482029598</v>
      </c>
      <c r="G81" s="86">
        <v>917.17</v>
      </c>
      <c r="H81" s="28">
        <f>$D:$D/$G:$G*100</f>
        <v>55.02796646205175</v>
      </c>
      <c r="I81" s="33">
        <f>D81-Январь!D81</f>
        <v>410.79999999999995</v>
      </c>
    </row>
    <row r="82" spans="1:9" ht="25.5">
      <c r="A82" s="8" t="s">
        <v>26</v>
      </c>
      <c r="B82" s="86">
        <v>78523.2</v>
      </c>
      <c r="C82" s="86">
        <f>4161.7+6450.9</f>
        <v>10612.599999999999</v>
      </c>
      <c r="D82" s="86">
        <v>8172.7</v>
      </c>
      <c r="E82" s="87">
        <f>$D:$D/$B:$B*100</f>
        <v>10.408006805631967</v>
      </c>
      <c r="F82" s="87">
        <f>$D:$D/$C:$C*100</f>
        <v>77.00940391609974</v>
      </c>
      <c r="G82" s="86">
        <v>7781.1</v>
      </c>
      <c r="H82" s="28">
        <f>$D:$D/$G:$G*100</f>
        <v>105.03270745781444</v>
      </c>
      <c r="I82" s="33">
        <f>D82-Январь!D82</f>
        <v>6762.7</v>
      </c>
    </row>
    <row r="83" spans="1:9" ht="12.75">
      <c r="A83" s="8" t="s">
        <v>72</v>
      </c>
      <c r="B83" s="86">
        <v>42.4</v>
      </c>
      <c r="C83" s="86">
        <v>0</v>
      </c>
      <c r="D83" s="86">
        <v>0</v>
      </c>
      <c r="E83" s="87">
        <v>0</v>
      </c>
      <c r="F83" s="87">
        <v>0</v>
      </c>
      <c r="G83" s="86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86">
        <v>19469.3</v>
      </c>
      <c r="C84" s="86">
        <f>1111.7+1418.1</f>
        <v>2529.8</v>
      </c>
      <c r="D84" s="86">
        <v>2013.3</v>
      </c>
      <c r="E84" s="87">
        <f>$D:$D/$B:$B*100</f>
        <v>10.340895666510866</v>
      </c>
      <c r="F84" s="87">
        <v>0</v>
      </c>
      <c r="G84" s="86">
        <v>1765.35</v>
      </c>
      <c r="H84" s="28">
        <f>$D:$D/$G:$G*100</f>
        <v>114.04537343869488</v>
      </c>
      <c r="I84" s="33">
        <f>D84-Январь!D84</f>
        <v>1694</v>
      </c>
    </row>
    <row r="85" spans="1:9" ht="12.75" hidden="1">
      <c r="A85" s="8" t="s">
        <v>28</v>
      </c>
      <c r="B85" s="86">
        <v>0</v>
      </c>
      <c r="C85" s="86">
        <v>0</v>
      </c>
      <c r="D85" s="86">
        <v>0</v>
      </c>
      <c r="E85" s="87">
        <v>0</v>
      </c>
      <c r="F85" s="87">
        <v>0</v>
      </c>
      <c r="G85" s="86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86">
        <v>4854</v>
      </c>
      <c r="C86" s="86">
        <v>0</v>
      </c>
      <c r="D86" s="86">
        <v>0</v>
      </c>
      <c r="E86" s="87">
        <f>$D:$D/$B:$B*100</f>
        <v>0</v>
      </c>
      <c r="F86" s="87">
        <v>0</v>
      </c>
      <c r="G86" s="86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86">
        <v>70363.1</v>
      </c>
      <c r="C87" s="86">
        <f>1196.4+6754.3</f>
        <v>7950.700000000001</v>
      </c>
      <c r="D87" s="86">
        <v>7759.2</v>
      </c>
      <c r="E87" s="87">
        <f>$D:$D/$B:$B*100</f>
        <v>11.027370880475702</v>
      </c>
      <c r="F87" s="87">
        <f>$D:$D/$C:$C*100</f>
        <v>97.59140704592048</v>
      </c>
      <c r="G87" s="86">
        <v>45051.11</v>
      </c>
      <c r="H87" s="28">
        <f>$D:$D/$G:$G*100</f>
        <v>17.223105046690304</v>
      </c>
      <c r="I87" s="33">
        <f>D87-Январь!D87</f>
        <v>6775.8</v>
      </c>
    </row>
    <row r="88" spans="1:9" ht="12.75">
      <c r="A88" s="7" t="s">
        <v>31</v>
      </c>
      <c r="B88" s="91">
        <v>619.8</v>
      </c>
      <c r="C88" s="91">
        <v>68</v>
      </c>
      <c r="D88" s="91">
        <v>67.9</v>
      </c>
      <c r="E88" s="84">
        <f>$D:$D/$B:$B*100</f>
        <v>10.955146821555342</v>
      </c>
      <c r="F88" s="84">
        <f>$D:$D/$C:$C*100</f>
        <v>99.8529411764706</v>
      </c>
      <c r="G88" s="86">
        <v>84.93</v>
      </c>
      <c r="H88" s="25">
        <v>0</v>
      </c>
      <c r="I88" s="33">
        <f>D88-Январь!D88</f>
        <v>58.900000000000006</v>
      </c>
    </row>
    <row r="89" spans="1:9" ht="25.5">
      <c r="A89" s="9" t="s">
        <v>32</v>
      </c>
      <c r="B89" s="91">
        <v>6191.2</v>
      </c>
      <c r="C89" s="91">
        <v>889.9</v>
      </c>
      <c r="D89" s="83">
        <v>868.2</v>
      </c>
      <c r="E89" s="84">
        <f>$D:$D/$B:$B*100</f>
        <v>14.023129603307922</v>
      </c>
      <c r="F89" s="84">
        <f>$D:$D/$C:$C*100</f>
        <v>97.56152376671537</v>
      </c>
      <c r="G89" s="88">
        <v>592.31</v>
      </c>
      <c r="H89" s="25">
        <f>$D:$D/$G:$G*100</f>
        <v>146.57864969357263</v>
      </c>
      <c r="I89" s="33">
        <f>D89-Январь!D89</f>
        <v>737.9000000000001</v>
      </c>
    </row>
    <row r="90" spans="1:9" ht="12.75">
      <c r="A90" s="7" t="s">
        <v>33</v>
      </c>
      <c r="B90" s="83">
        <f aca="true" t="shared" si="2" ref="B90:I90">B91+B92+B93+B94</f>
        <v>364987.69999999995</v>
      </c>
      <c r="C90" s="83">
        <f t="shared" si="2"/>
        <v>14071.1</v>
      </c>
      <c r="D90" s="83">
        <f t="shared" si="2"/>
        <v>13529</v>
      </c>
      <c r="E90" s="33">
        <f t="shared" si="2"/>
        <v>15.071406967384528</v>
      </c>
      <c r="F90" s="33">
        <f t="shared" si="2"/>
        <v>176.8244196485828</v>
      </c>
      <c r="G90" s="33">
        <f t="shared" si="2"/>
        <v>13908.4</v>
      </c>
      <c r="H90" s="33">
        <f t="shared" si="2"/>
        <v>132.30162119181895</v>
      </c>
      <c r="I90" s="33">
        <f t="shared" si="2"/>
        <v>11758</v>
      </c>
    </row>
    <row r="91" spans="1:9" ht="12.75" customHeight="1">
      <c r="A91" s="10" t="s">
        <v>67</v>
      </c>
      <c r="B91" s="88">
        <v>14613.1</v>
      </c>
      <c r="C91" s="86">
        <v>0</v>
      </c>
      <c r="D91" s="86">
        <v>0</v>
      </c>
      <c r="E91" s="28">
        <v>0</v>
      </c>
      <c r="F91" s="28">
        <v>0</v>
      </c>
      <c r="G91" s="27">
        <v>0</v>
      </c>
      <c r="H91" s="28">
        <v>0</v>
      </c>
      <c r="I91" s="33">
        <f>D91-Январь!D92</f>
        <v>0</v>
      </c>
    </row>
    <row r="92" spans="1:9" ht="12.75">
      <c r="A92" s="8" t="s">
        <v>34</v>
      </c>
      <c r="B92" s="86">
        <v>30850</v>
      </c>
      <c r="C92" s="86">
        <v>0</v>
      </c>
      <c r="D92" s="86">
        <v>0</v>
      </c>
      <c r="E92" s="28">
        <f>$D:$D/$B:$B*100</f>
        <v>0</v>
      </c>
      <c r="F92" s="28">
        <v>0</v>
      </c>
      <c r="G92" s="27">
        <v>2462.18</v>
      </c>
      <c r="H92" s="28">
        <v>0</v>
      </c>
      <c r="I92" s="33">
        <f>D92-Январь!D93</f>
        <v>0</v>
      </c>
    </row>
    <row r="93" spans="1:9" ht="12.75">
      <c r="A93" s="10" t="s">
        <v>77</v>
      </c>
      <c r="B93" s="86">
        <v>303488.1</v>
      </c>
      <c r="C93" s="86">
        <f>1393.4+10338.6</f>
        <v>11732</v>
      </c>
      <c r="D93" s="86">
        <v>11732</v>
      </c>
      <c r="E93" s="28">
        <f>$D:$D/$B:$B*100</f>
        <v>3.8657199409136638</v>
      </c>
      <c r="F93" s="28">
        <f>$D:$D/$C:$C*100</f>
        <v>100</v>
      </c>
      <c r="G93" s="27">
        <v>10087.96</v>
      </c>
      <c r="H93" s="28">
        <v>0</v>
      </c>
      <c r="I93" s="33">
        <f>D93-Январь!D94</f>
        <v>10338.6</v>
      </c>
    </row>
    <row r="94" spans="1:9" ht="12.75">
      <c r="A94" s="8" t="s">
        <v>35</v>
      </c>
      <c r="B94" s="86">
        <v>16036.5</v>
      </c>
      <c r="C94" s="86">
        <f>977.6+1361.5</f>
        <v>2339.1</v>
      </c>
      <c r="D94" s="86">
        <v>1797</v>
      </c>
      <c r="E94" s="28">
        <f>$D:$D/$B:$B*100</f>
        <v>11.205687026470864</v>
      </c>
      <c r="F94" s="28">
        <f>$D:$D/$C:$C*100</f>
        <v>76.82441964858279</v>
      </c>
      <c r="G94" s="27">
        <v>1358.26</v>
      </c>
      <c r="H94" s="28">
        <f>$D:$D/$G:$G*100</f>
        <v>132.30162119181895</v>
      </c>
      <c r="I94" s="33">
        <f>D94-Январь!D95</f>
        <v>1419.4</v>
      </c>
    </row>
    <row r="95" spans="1:9" ht="12.75">
      <c r="A95" s="7" t="s">
        <v>36</v>
      </c>
      <c r="B95" s="91">
        <f>B96+B97+B98+B99</f>
        <v>136309.3</v>
      </c>
      <c r="C95" s="91">
        <f>C96+C97+C98+C99</f>
        <v>14499.1</v>
      </c>
      <c r="D95" s="91">
        <f>D96+D97+D98+D99</f>
        <v>12816.6</v>
      </c>
      <c r="E95" s="33">
        <f>E98+E99+E96</f>
        <v>39.7898890809048</v>
      </c>
      <c r="F95" s="25">
        <f>$D:$D/$C:$C*100</f>
        <v>88.3958314654013</v>
      </c>
      <c r="G95" s="33">
        <f>G97+G98+G99+G96</f>
        <v>9030.4</v>
      </c>
      <c r="H95" s="33">
        <f>H97+H98+H99</f>
        <v>0</v>
      </c>
      <c r="I95" s="33">
        <f>D95-Январь!D96</f>
        <v>10438.3</v>
      </c>
    </row>
    <row r="96" spans="1:9" ht="12.75">
      <c r="A96" s="8" t="s">
        <v>37</v>
      </c>
      <c r="B96" s="88">
        <v>1058.6</v>
      </c>
      <c r="C96" s="86">
        <v>0</v>
      </c>
      <c r="D96" s="86">
        <v>0</v>
      </c>
      <c r="E96" s="43">
        <v>0</v>
      </c>
      <c r="F96" s="28">
        <v>0</v>
      </c>
      <c r="G96" s="27">
        <v>0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86">
        <v>2316.7</v>
      </c>
      <c r="C97" s="86">
        <v>0</v>
      </c>
      <c r="D97" s="86">
        <v>0</v>
      </c>
      <c r="E97" s="28">
        <f>$D:$D/$B:$B*100</f>
        <v>0</v>
      </c>
      <c r="F97" s="28">
        <v>0</v>
      </c>
      <c r="G97" s="27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86">
        <v>113819</v>
      </c>
      <c r="C98" s="86">
        <f>1735.3+4527.3</f>
        <v>6262.6</v>
      </c>
      <c r="D98" s="86">
        <v>6262.5</v>
      </c>
      <c r="E98" s="28">
        <f>$D:$D/$B:$B*100</f>
        <v>5.502156933376677</v>
      </c>
      <c r="F98" s="28">
        <f>$D:$D/$C:$C*100</f>
        <v>99.99840321911026</v>
      </c>
      <c r="G98" s="27">
        <v>4956.94</v>
      </c>
      <c r="H98" s="28">
        <v>0</v>
      </c>
      <c r="I98" s="33">
        <f>D98-Январь!D99</f>
        <v>4527.2</v>
      </c>
    </row>
    <row r="99" spans="1:9" ht="12.75">
      <c r="A99" s="8" t="s">
        <v>40</v>
      </c>
      <c r="B99" s="86">
        <v>19115</v>
      </c>
      <c r="C99" s="86">
        <f>2164.6+6071.9</f>
        <v>8236.5</v>
      </c>
      <c r="D99" s="86">
        <v>6554.1</v>
      </c>
      <c r="E99" s="28">
        <f>$D:$D/$B:$B*100</f>
        <v>34.287732147528125</v>
      </c>
      <c r="F99" s="28">
        <f>$D:$D/$C:$C*100</f>
        <v>79.57384811509743</v>
      </c>
      <c r="G99" s="27">
        <v>4073.46</v>
      </c>
      <c r="H99" s="28">
        <v>0</v>
      </c>
      <c r="I99" s="33">
        <f>D99-Январь!D100</f>
        <v>5911.1</v>
      </c>
    </row>
    <row r="100" spans="1:9" ht="12.75">
      <c r="A100" s="11" t="s">
        <v>115</v>
      </c>
      <c r="B100" s="91">
        <f>B101</f>
        <v>2227.7</v>
      </c>
      <c r="C100" s="91">
        <f>C101</f>
        <v>357.8</v>
      </c>
      <c r="D100" s="91">
        <f>D101</f>
        <v>357.8</v>
      </c>
      <c r="E100" s="25">
        <f>$D:$D/$B:$B*100</f>
        <v>16.06140862773264</v>
      </c>
      <c r="F100" s="25"/>
      <c r="G100" s="33">
        <f>G101</f>
        <v>246.56</v>
      </c>
      <c r="H100" s="25">
        <v>0</v>
      </c>
      <c r="I100" s="33">
        <f>D100-Январь!D101</f>
        <v>357.8</v>
      </c>
    </row>
    <row r="101" spans="1:9" ht="38.25">
      <c r="A101" s="39" t="s">
        <v>151</v>
      </c>
      <c r="B101" s="88">
        <v>2227.7</v>
      </c>
      <c r="C101" s="111">
        <v>357.8</v>
      </c>
      <c r="D101" s="111">
        <v>357.8</v>
      </c>
      <c r="E101" s="28">
        <f>$D:$D/$B:$B*100</f>
        <v>16.06140862773264</v>
      </c>
      <c r="F101" s="28"/>
      <c r="G101" s="110">
        <v>246.56</v>
      </c>
      <c r="H101" s="28">
        <v>0</v>
      </c>
      <c r="I101" s="33">
        <f>D101-Январь!D102</f>
        <v>357.8</v>
      </c>
    </row>
    <row r="102" spans="1:9" ht="12.75">
      <c r="A102" s="11" t="s">
        <v>41</v>
      </c>
      <c r="B102" s="91">
        <f>B103+B104+B105+B106+B107+B108</f>
        <v>2058191.9</v>
      </c>
      <c r="C102" s="91">
        <f>C103+C104+C105+C106+C107+C108</f>
        <v>230208.1</v>
      </c>
      <c r="D102" s="91">
        <f>D103+D104+D105+D106+D107+D108</f>
        <v>229919.5</v>
      </c>
      <c r="E102" s="33">
        <f>E103+E104+E107+E108+E106</f>
        <v>43.54022269556163</v>
      </c>
      <c r="F102" s="33" t="e">
        <f>F103+F104+F107+F108+F106</f>
        <v>#DIV/0!</v>
      </c>
      <c r="G102" s="33">
        <f>G103+G104+G106+G107+G108+G105</f>
        <v>214400.79</v>
      </c>
      <c r="H102" s="33">
        <f>H103+H104+H107+H108+H106</f>
        <v>451.12349576883196</v>
      </c>
      <c r="I102" s="33">
        <f>D102-Январь!D103</f>
        <v>170339.8</v>
      </c>
    </row>
    <row r="103" spans="1:9" ht="12.75">
      <c r="A103" s="8" t="s">
        <v>42</v>
      </c>
      <c r="B103" s="88">
        <v>786022.1</v>
      </c>
      <c r="C103" s="27">
        <f>24767.3+64303.1</f>
        <v>89070.4</v>
      </c>
      <c r="D103" s="27">
        <v>89070.4</v>
      </c>
      <c r="E103" s="28">
        <f aca="true" t="shared" si="3" ref="E103:E121">$D:$D/$B:$B*100</f>
        <v>11.331793342706268</v>
      </c>
      <c r="F103" s="28">
        <f aca="true" t="shared" si="4" ref="F103:F111">$D:$D/$C:$C*100</f>
        <v>100</v>
      </c>
      <c r="G103" s="27">
        <v>85655.03</v>
      </c>
      <c r="H103" s="28">
        <f>$D:$D/$G:$G*100</f>
        <v>103.98735485820272</v>
      </c>
      <c r="I103" s="33">
        <f>D103-Январь!D104</f>
        <v>64303.09999999999</v>
      </c>
    </row>
    <row r="104" spans="1:9" ht="12.75">
      <c r="A104" s="8" t="s">
        <v>43</v>
      </c>
      <c r="B104" s="86">
        <v>838342.6</v>
      </c>
      <c r="C104" s="27">
        <f>23976.8+69444.3</f>
        <v>93421.1</v>
      </c>
      <c r="D104" s="27">
        <v>93421.1</v>
      </c>
      <c r="E104" s="28">
        <f t="shared" si="3"/>
        <v>11.1435468029419</v>
      </c>
      <c r="F104" s="28">
        <f t="shared" si="4"/>
        <v>100</v>
      </c>
      <c r="G104" s="27">
        <v>86649.47</v>
      </c>
      <c r="H104" s="28">
        <f>$D:$D/$G:$G*100</f>
        <v>107.81496990114307</v>
      </c>
      <c r="I104" s="33">
        <f>D104-Январь!D105</f>
        <v>69444.3</v>
      </c>
    </row>
    <row r="105" spans="1:9" ht="12.75">
      <c r="A105" s="21" t="s">
        <v>105</v>
      </c>
      <c r="B105" s="86">
        <v>158209</v>
      </c>
      <c r="C105" s="27">
        <f>4377.5+13518.4</f>
        <v>17895.9</v>
      </c>
      <c r="D105" s="27">
        <v>17895.9</v>
      </c>
      <c r="E105" s="28">
        <f t="shared" si="3"/>
        <v>11.311556232578427</v>
      </c>
      <c r="F105" s="28">
        <f t="shared" si="4"/>
        <v>100</v>
      </c>
      <c r="G105" s="27">
        <v>15864.32</v>
      </c>
      <c r="H105" s="28">
        <f>$D:$D/$G:$G*100</f>
        <v>112.80596962239795</v>
      </c>
      <c r="I105" s="33">
        <f>D105-Январь!D106</f>
        <v>13518.400000000001</v>
      </c>
    </row>
    <row r="106" spans="1:9" ht="25.5">
      <c r="A106" s="8" t="s">
        <v>123</v>
      </c>
      <c r="B106" s="86">
        <v>491.9</v>
      </c>
      <c r="C106" s="27">
        <v>0</v>
      </c>
      <c r="D106" s="27">
        <v>0</v>
      </c>
      <c r="E106" s="28">
        <f t="shared" si="3"/>
        <v>0</v>
      </c>
      <c r="F106" s="28" t="e">
        <f t="shared" si="4"/>
        <v>#DIV/0!</v>
      </c>
      <c r="G106" s="27">
        <v>28.2</v>
      </c>
      <c r="H106" s="28">
        <v>0</v>
      </c>
      <c r="I106" s="33">
        <f>D106-Январь!D107</f>
        <v>0</v>
      </c>
    </row>
    <row r="107" spans="1:9" ht="12.75">
      <c r="A107" s="8" t="s">
        <v>44</v>
      </c>
      <c r="B107" s="86">
        <v>24061.7</v>
      </c>
      <c r="C107" s="27">
        <f>630.8+1844.7</f>
        <v>2475.5</v>
      </c>
      <c r="D107" s="27">
        <v>2475.5</v>
      </c>
      <c r="E107" s="28">
        <f t="shared" si="3"/>
        <v>10.288134254853148</v>
      </c>
      <c r="F107" s="28">
        <f t="shared" si="4"/>
        <v>100</v>
      </c>
      <c r="G107" s="27">
        <v>1936.61</v>
      </c>
      <c r="H107" s="28">
        <f>$D:$D/$G:$G*100</f>
        <v>127.82645963823383</v>
      </c>
      <c r="I107" s="33">
        <f>D107-Январь!D108</f>
        <v>1844.7</v>
      </c>
    </row>
    <row r="108" spans="1:9" ht="12.75">
      <c r="A108" s="8" t="s">
        <v>45</v>
      </c>
      <c r="B108" s="86">
        <v>251064.6</v>
      </c>
      <c r="C108" s="27">
        <f>7388.8+19956.4</f>
        <v>27345.2</v>
      </c>
      <c r="D108" s="27">
        <v>27056.6</v>
      </c>
      <c r="E108" s="28">
        <f t="shared" si="3"/>
        <v>10.776748295060315</v>
      </c>
      <c r="F108" s="28">
        <f t="shared" si="4"/>
        <v>98.94460453754222</v>
      </c>
      <c r="G108" s="27">
        <v>24267.16</v>
      </c>
      <c r="H108" s="28">
        <f>$D:$D/$G:$G*100</f>
        <v>111.49471137125234</v>
      </c>
      <c r="I108" s="33">
        <f>D108-Январь!D109</f>
        <v>21229.3</v>
      </c>
    </row>
    <row r="109" spans="1:9" ht="25.5">
      <c r="A109" s="11" t="s">
        <v>46</v>
      </c>
      <c r="B109" s="91">
        <f>B110+B111</f>
        <v>199339.80000000002</v>
      </c>
      <c r="C109" s="91">
        <f>C110+C111</f>
        <v>22556.3</v>
      </c>
      <c r="D109" s="83">
        <f>D110+D111</f>
        <v>22534.699999999997</v>
      </c>
      <c r="E109" s="25">
        <f t="shared" si="3"/>
        <v>11.304666704792519</v>
      </c>
      <c r="F109" s="25">
        <f t="shared" si="4"/>
        <v>99.90423961376644</v>
      </c>
      <c r="G109" s="33">
        <f>G110+G111</f>
        <v>18460.04</v>
      </c>
      <c r="H109" s="25">
        <f>$D:$D/$G:$G*100</f>
        <v>122.07286658100413</v>
      </c>
      <c r="I109" s="33">
        <f>D109-Январь!D110</f>
        <v>16329.599999999997</v>
      </c>
    </row>
    <row r="110" spans="1:9" ht="12.75">
      <c r="A110" s="8" t="s">
        <v>47</v>
      </c>
      <c r="B110" s="86">
        <v>178644.7</v>
      </c>
      <c r="C110" s="86">
        <f>6136.6+15890</f>
        <v>22026.6</v>
      </c>
      <c r="D110" s="86">
        <v>22026.6</v>
      </c>
      <c r="E110" s="28">
        <f t="shared" si="3"/>
        <v>12.32983682135546</v>
      </c>
      <c r="F110" s="28">
        <f t="shared" si="4"/>
        <v>100</v>
      </c>
      <c r="G110" s="27">
        <v>18058.61</v>
      </c>
      <c r="H110" s="28">
        <f>$D:$D/$G:$G*100</f>
        <v>121.97284287107368</v>
      </c>
      <c r="I110" s="33">
        <f>D110-Январь!D111</f>
        <v>15889.999999999998</v>
      </c>
    </row>
    <row r="111" spans="1:9" ht="25.5">
      <c r="A111" s="8" t="s">
        <v>48</v>
      </c>
      <c r="B111" s="86">
        <v>20695.1</v>
      </c>
      <c r="C111" s="86">
        <f>90+439.7</f>
        <v>529.7</v>
      </c>
      <c r="D111" s="86">
        <v>508.1</v>
      </c>
      <c r="E111" s="28">
        <f t="shared" si="3"/>
        <v>2.455170547617552</v>
      </c>
      <c r="F111" s="28">
        <f t="shared" si="4"/>
        <v>95.92222012459882</v>
      </c>
      <c r="G111" s="27">
        <v>401.43</v>
      </c>
      <c r="H111" s="28">
        <v>0</v>
      </c>
      <c r="I111" s="33">
        <f>D111-Январь!D112</f>
        <v>439.6</v>
      </c>
    </row>
    <row r="112" spans="1:9" ht="12.75">
      <c r="A112" s="11" t="s">
        <v>97</v>
      </c>
      <c r="B112" s="83">
        <f>B113</f>
        <v>127.01</v>
      </c>
      <c r="C112" s="83">
        <f>C113</f>
        <v>0</v>
      </c>
      <c r="D112" s="83">
        <f>D113</f>
        <v>0</v>
      </c>
      <c r="E112" s="25">
        <f t="shared" si="3"/>
        <v>0</v>
      </c>
      <c r="F112" s="25">
        <v>0</v>
      </c>
      <c r="G112" s="33">
        <f>G113</f>
        <v>0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86">
        <v>127.01</v>
      </c>
      <c r="C113" s="86">
        <v>0</v>
      </c>
      <c r="D113" s="86">
        <v>0</v>
      </c>
      <c r="E113" s="28">
        <f t="shared" si="3"/>
        <v>0</v>
      </c>
      <c r="F113" s="28">
        <v>0</v>
      </c>
      <c r="G113" s="27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83">
        <f>B115+B116+B117+B118+B119</f>
        <v>199145.9</v>
      </c>
      <c r="C114" s="83">
        <f>C115+C116+C117+C118+C119</f>
        <v>14670.5</v>
      </c>
      <c r="D114" s="83">
        <f>D115+D116+D117+D118+D119</f>
        <v>10107.3</v>
      </c>
      <c r="E114" s="25">
        <f t="shared" si="3"/>
        <v>5.075324171875996</v>
      </c>
      <c r="F114" s="25">
        <f>$D:$D/$C:$C*100</f>
        <v>68.89540233802528</v>
      </c>
      <c r="G114" s="33">
        <f>G115+G116+G117+G118+G119</f>
        <v>8527.4</v>
      </c>
      <c r="H114" s="25">
        <v>0</v>
      </c>
      <c r="I114" s="33">
        <f>D114-Январь!D115</f>
        <v>9854.3</v>
      </c>
    </row>
    <row r="115" spans="1:9" ht="12.75">
      <c r="A115" s="8" t="s">
        <v>50</v>
      </c>
      <c r="B115" s="86">
        <v>4302.4</v>
      </c>
      <c r="C115" s="86">
        <f>2+360</f>
        <v>362</v>
      </c>
      <c r="D115" s="86">
        <v>325.5</v>
      </c>
      <c r="E115" s="28">
        <f t="shared" si="3"/>
        <v>7.565544812197844</v>
      </c>
      <c r="F115" s="28">
        <v>0</v>
      </c>
      <c r="G115" s="27">
        <v>188.64</v>
      </c>
      <c r="H115" s="28">
        <v>0</v>
      </c>
      <c r="I115" s="33">
        <f>D115-Январь!D116</f>
        <v>323.5</v>
      </c>
    </row>
    <row r="116" spans="1:9" ht="12.75" customHeight="1" hidden="1">
      <c r="A116" s="8" t="s">
        <v>51</v>
      </c>
      <c r="B116" s="86"/>
      <c r="C116" s="86"/>
      <c r="D116" s="86"/>
      <c r="E116" s="28" t="e">
        <f t="shared" si="3"/>
        <v>#DIV/0!</v>
      </c>
      <c r="F116" s="28" t="e">
        <f>$D:$D/$C:$C*100</f>
        <v>#DIV/0!</v>
      </c>
      <c r="G116" s="27"/>
      <c r="H116" s="28" t="e">
        <f>$D:$D/$G:$G*100</f>
        <v>#DIV/0!</v>
      </c>
      <c r="I116" s="33">
        <f>D116-Январь!D117</f>
        <v>0</v>
      </c>
    </row>
    <row r="117" spans="1:9" ht="12.75">
      <c r="A117" s="8" t="s">
        <v>52</v>
      </c>
      <c r="B117" s="86">
        <v>133402.6</v>
      </c>
      <c r="C117" s="86">
        <f>212+10561</f>
        <v>10773</v>
      </c>
      <c r="D117" s="86">
        <v>8980.4</v>
      </c>
      <c r="E117" s="28">
        <f t="shared" si="3"/>
        <v>6.73180282843063</v>
      </c>
      <c r="F117" s="28">
        <f>$D:$D/$C:$C*100</f>
        <v>83.3602524830595</v>
      </c>
      <c r="G117" s="27">
        <v>7672</v>
      </c>
      <c r="H117" s="28">
        <v>0</v>
      </c>
      <c r="I117" s="33">
        <f>D117-Январь!D118</f>
        <v>8768.4</v>
      </c>
    </row>
    <row r="118" spans="1:9" ht="12.75">
      <c r="A118" s="8" t="s">
        <v>53</v>
      </c>
      <c r="B118" s="86">
        <v>58566.6</v>
      </c>
      <c r="C118" s="86">
        <f>51+3105</f>
        <v>3156</v>
      </c>
      <c r="D118" s="86">
        <v>520.9</v>
      </c>
      <c r="E118" s="28">
        <f t="shared" si="3"/>
        <v>0.8894147859018622</v>
      </c>
      <c r="F118" s="28">
        <v>0</v>
      </c>
      <c r="G118" s="27">
        <v>513.86</v>
      </c>
      <c r="H118" s="28">
        <v>0</v>
      </c>
      <c r="I118" s="33">
        <f>D118-Январь!D119</f>
        <v>520.9</v>
      </c>
    </row>
    <row r="119" spans="1:9" ht="12.75">
      <c r="A119" s="8" t="s">
        <v>54</v>
      </c>
      <c r="B119" s="86">
        <v>2874.3</v>
      </c>
      <c r="C119" s="86">
        <f>164+215.5</f>
        <v>379.5</v>
      </c>
      <c r="D119" s="86">
        <v>280.5</v>
      </c>
      <c r="E119" s="28">
        <f t="shared" si="3"/>
        <v>9.75889781859931</v>
      </c>
      <c r="F119" s="28">
        <f>$D:$D/$C:$C*100</f>
        <v>73.91304347826086</v>
      </c>
      <c r="G119" s="27">
        <v>152.9</v>
      </c>
      <c r="H119" s="28">
        <f>$D:$D/$G:$G*100</f>
        <v>183.45323741007192</v>
      </c>
      <c r="I119" s="33">
        <f>D119-Январь!D120</f>
        <v>241.5</v>
      </c>
    </row>
    <row r="120" spans="1:9" ht="12.75">
      <c r="A120" s="11" t="s">
        <v>61</v>
      </c>
      <c r="B120" s="91">
        <f>B121+B122+B123</f>
        <v>196892.90000000002</v>
      </c>
      <c r="C120" s="91">
        <f>C121+C122+C123</f>
        <v>16275.7</v>
      </c>
      <c r="D120" s="91">
        <f>D121+D122+D123</f>
        <v>16024</v>
      </c>
      <c r="E120" s="25">
        <f t="shared" si="3"/>
        <v>8.138434651528826</v>
      </c>
      <c r="F120" s="25">
        <f>$D:$D/$C:$C*100</f>
        <v>98.45352273634927</v>
      </c>
      <c r="G120" s="26">
        <f>G121+G122+G123</f>
        <v>18600.64</v>
      </c>
      <c r="H120" s="25">
        <f>$D:$D/$G:$G*100</f>
        <v>86.14757341682868</v>
      </c>
      <c r="I120" s="33">
        <f>D120-Январь!D121</f>
        <v>10857.7</v>
      </c>
    </row>
    <row r="121" spans="1:9" ht="12.75">
      <c r="A121" s="75" t="s">
        <v>63</v>
      </c>
      <c r="B121" s="86">
        <v>128179.4</v>
      </c>
      <c r="C121" s="86">
        <f>2868.1+4478.5</f>
        <v>7346.6</v>
      </c>
      <c r="D121" s="86">
        <v>7346.7</v>
      </c>
      <c r="E121" s="28">
        <f t="shared" si="3"/>
        <v>5.7315762127143675</v>
      </c>
      <c r="F121" s="28">
        <f>$D:$D/$C:$C*100</f>
        <v>100.00136117387635</v>
      </c>
      <c r="G121" s="27">
        <v>10783.57</v>
      </c>
      <c r="H121" s="28">
        <v>0</v>
      </c>
      <c r="I121" s="33">
        <f>D121-Январь!D122</f>
        <v>4478.6</v>
      </c>
    </row>
    <row r="122" spans="1:9" ht="24.75" customHeight="1">
      <c r="A122" s="75" t="s">
        <v>150</v>
      </c>
      <c r="B122" s="86">
        <v>63239.8</v>
      </c>
      <c r="C122" s="27">
        <f>2207.5+5880</f>
        <v>8087.5</v>
      </c>
      <c r="D122" s="27">
        <v>8087.5</v>
      </c>
      <c r="E122" s="28">
        <v>0</v>
      </c>
      <c r="F122" s="28">
        <v>0</v>
      </c>
      <c r="G122" s="27">
        <v>7158.56</v>
      </c>
      <c r="H122" s="28">
        <v>0</v>
      </c>
      <c r="I122" s="33">
        <f>D122-Январь!D123</f>
        <v>5880</v>
      </c>
    </row>
    <row r="123" spans="1:9" ht="25.5">
      <c r="A123" s="12" t="s">
        <v>73</v>
      </c>
      <c r="B123" s="86">
        <v>5473.7</v>
      </c>
      <c r="C123" s="27">
        <f>313.7+527.9</f>
        <v>841.5999999999999</v>
      </c>
      <c r="D123" s="27">
        <v>589.8</v>
      </c>
      <c r="E123" s="28">
        <f>$D:$D/$B:$B*100</f>
        <v>10.775161225496465</v>
      </c>
      <c r="F123" s="28">
        <f>$D:$D/$C:$C*100</f>
        <v>70.08079847908746</v>
      </c>
      <c r="G123" s="27">
        <v>658.51</v>
      </c>
      <c r="H123" s="28">
        <v>0</v>
      </c>
      <c r="I123" s="33">
        <f>D123-Январь!D124</f>
        <v>499.09999999999997</v>
      </c>
    </row>
    <row r="124" spans="1:9" ht="26.25" customHeight="1">
      <c r="A124" s="13" t="s">
        <v>80</v>
      </c>
      <c r="B124" s="91">
        <f>B125</f>
        <v>100</v>
      </c>
      <c r="C124" s="91">
        <f>C125</f>
        <v>9</v>
      </c>
      <c r="D124" s="91">
        <f>D125</f>
        <v>9</v>
      </c>
      <c r="E124" s="28">
        <f>$D:$D/$B:$B*100</f>
        <v>9</v>
      </c>
      <c r="F124" s="28">
        <v>0</v>
      </c>
      <c r="G124" s="26">
        <f>G125</f>
        <v>5.75</v>
      </c>
      <c r="H124" s="28">
        <v>0</v>
      </c>
      <c r="I124" s="33">
        <f>D124-Январь!D125</f>
        <v>9</v>
      </c>
    </row>
    <row r="125" spans="1:9" ht="13.5" customHeight="1">
      <c r="A125" s="12" t="s">
        <v>81</v>
      </c>
      <c r="B125" s="86">
        <v>100</v>
      </c>
      <c r="C125" s="27">
        <f>9</f>
        <v>9</v>
      </c>
      <c r="D125" s="27">
        <v>9</v>
      </c>
      <c r="E125" s="28">
        <f>$D:$D/$B:$B*100</f>
        <v>9</v>
      </c>
      <c r="F125" s="28">
        <v>0</v>
      </c>
      <c r="G125" s="27">
        <v>5.75</v>
      </c>
      <c r="H125" s="28">
        <v>0</v>
      </c>
      <c r="I125" s="33">
        <f>D125-Январь!D126</f>
        <v>9</v>
      </c>
    </row>
    <row r="126" spans="1:9" ht="15.75" customHeight="1">
      <c r="A126" s="14" t="s">
        <v>55</v>
      </c>
      <c r="B126" s="83">
        <f>B79+B88+B89+B95+B102+B109+B112+B114+B120+B124+B100+B90</f>
        <v>3348688.409999999</v>
      </c>
      <c r="C126" s="33">
        <f>C79+C88+C89+C90+C95+C102+C109+C112+C114+C120+C124+C100</f>
        <v>335904.5</v>
      </c>
      <c r="D126" s="33">
        <f>D79+D88+D89+D90+D95+D102+D109+D112+D114+D120+D124+D100</f>
        <v>325099.5</v>
      </c>
      <c r="E126" s="25">
        <f>$D:$D/$B:$B*100</f>
        <v>9.708263660159414</v>
      </c>
      <c r="F126" s="25">
        <f>$D:$D/$C:$C*100</f>
        <v>96.78331192347825</v>
      </c>
      <c r="G126" s="33">
        <f>G79+G88+G89+G90+G95+G102+G109+G112+G114+G120+G124+G100</f>
        <v>339783.27</v>
      </c>
      <c r="H126" s="25">
        <f>$D:$D/$G:$G*100</f>
        <v>95.6784894088517</v>
      </c>
      <c r="I126" s="33">
        <f>D126-Январь!D127</f>
        <v>246694.59999999998</v>
      </c>
    </row>
    <row r="127" spans="1:9" ht="26.25" customHeight="1">
      <c r="A127" s="77" t="s">
        <v>56</v>
      </c>
      <c r="B127" s="83">
        <v>0</v>
      </c>
      <c r="C127" s="78">
        <f>C73-C126</f>
        <v>48112.5</v>
      </c>
      <c r="D127" s="78">
        <f>D73-D126</f>
        <v>75449</v>
      </c>
      <c r="E127" s="78"/>
      <c r="F127" s="78"/>
      <c r="G127" s="78">
        <v>52519.868679999985</v>
      </c>
      <c r="H127" s="78"/>
      <c r="I127" s="78">
        <f>I73-I126</f>
        <v>152795.69000000006</v>
      </c>
    </row>
    <row r="128" spans="1:9" ht="24" customHeight="1">
      <c r="A128" s="1" t="s">
        <v>57</v>
      </c>
      <c r="B128" s="102" t="s">
        <v>159</v>
      </c>
      <c r="C128" s="27"/>
      <c r="D128" s="27" t="s">
        <v>162</v>
      </c>
      <c r="E128" s="27"/>
      <c r="F128" s="27"/>
      <c r="G128" s="27" t="s">
        <v>153</v>
      </c>
      <c r="H128" s="26"/>
      <c r="I128" s="27"/>
    </row>
    <row r="129" spans="1:9" ht="12.75">
      <c r="A129" s="3" t="s">
        <v>58</v>
      </c>
      <c r="B129" s="104">
        <f>B131+B132</f>
        <v>123468</v>
      </c>
      <c r="C129" s="76">
        <f aca="true" t="shared" si="5" ref="C129:H129">C131+C132</f>
        <v>0</v>
      </c>
      <c r="D129" s="76">
        <f>D131+D132</f>
        <v>148917</v>
      </c>
      <c r="E129" s="76">
        <f t="shared" si="5"/>
        <v>0</v>
      </c>
      <c r="F129" s="76">
        <f t="shared" si="5"/>
        <v>0</v>
      </c>
      <c r="G129" s="104">
        <f t="shared" si="5"/>
        <v>92049.9</v>
      </c>
      <c r="H129" s="76">
        <f t="shared" si="5"/>
        <v>0</v>
      </c>
      <c r="I129" s="26">
        <f>I131+I132</f>
        <v>148917</v>
      </c>
    </row>
    <row r="130" spans="1:9" ht="12" customHeight="1">
      <c r="A130" s="1" t="s">
        <v>6</v>
      </c>
      <c r="B130" s="106"/>
      <c r="C130" s="27"/>
      <c r="D130" s="27" t="s">
        <v>148</v>
      </c>
      <c r="E130" s="27"/>
      <c r="F130" s="27"/>
      <c r="G130" s="86" t="s">
        <v>148</v>
      </c>
      <c r="H130" s="35"/>
      <c r="I130" s="27"/>
    </row>
    <row r="131" spans="1:9" ht="12.75">
      <c r="A131" s="5" t="s">
        <v>59</v>
      </c>
      <c r="B131" s="106">
        <v>96175</v>
      </c>
      <c r="C131" s="27"/>
      <c r="D131" s="27">
        <v>92963</v>
      </c>
      <c r="E131" s="27"/>
      <c r="F131" s="27"/>
      <c r="G131" s="86">
        <v>45806.8</v>
      </c>
      <c r="H131" s="35"/>
      <c r="I131" s="27">
        <f>D131</f>
        <v>92963</v>
      </c>
    </row>
    <row r="132" spans="1:9" ht="12.75">
      <c r="A132" s="1" t="s">
        <v>60</v>
      </c>
      <c r="B132" s="106">
        <v>27293</v>
      </c>
      <c r="C132" s="27"/>
      <c r="D132" s="27">
        <v>55954</v>
      </c>
      <c r="E132" s="27"/>
      <c r="F132" s="27"/>
      <c r="G132" s="86">
        <f>92049.9-G131</f>
        <v>46243.09999999999</v>
      </c>
      <c r="H132" s="35"/>
      <c r="I132" s="27">
        <f>D132</f>
        <v>55954</v>
      </c>
    </row>
    <row r="133" spans="1:9" ht="12.75">
      <c r="A133" s="3" t="s">
        <v>99</v>
      </c>
      <c r="B133" s="26">
        <f>B134-B135</f>
        <v>0</v>
      </c>
      <c r="C133" s="26">
        <f aca="true" t="shared" si="6" ref="C133:H133">C134-C135</f>
        <v>-50000</v>
      </c>
      <c r="D133" s="26">
        <f t="shared" si="6"/>
        <v>-50000</v>
      </c>
      <c r="E133" s="26">
        <f t="shared" si="6"/>
        <v>0</v>
      </c>
      <c r="F133" s="26">
        <f t="shared" si="6"/>
        <v>0</v>
      </c>
      <c r="G133" s="91">
        <f t="shared" si="6"/>
        <v>-35000</v>
      </c>
      <c r="H133" s="26">
        <f t="shared" si="6"/>
        <v>0</v>
      </c>
      <c r="I133" s="38"/>
    </row>
    <row r="134" spans="1:9" ht="12.75">
      <c r="A134" s="2" t="s">
        <v>100</v>
      </c>
      <c r="B134" s="27">
        <v>109910</v>
      </c>
      <c r="C134" s="27">
        <v>0</v>
      </c>
      <c r="D134" s="27">
        <v>0</v>
      </c>
      <c r="E134" s="36"/>
      <c r="F134" s="36"/>
      <c r="G134" s="86">
        <v>0</v>
      </c>
      <c r="H134" s="37"/>
      <c r="I134" s="36">
        <v>0</v>
      </c>
    </row>
    <row r="135" spans="1:9" ht="12.75">
      <c r="A135" s="2" t="s">
        <v>101</v>
      </c>
      <c r="B135" s="27">
        <v>109910</v>
      </c>
      <c r="C135" s="27">
        <v>50000</v>
      </c>
      <c r="D135" s="27">
        <v>50000</v>
      </c>
      <c r="E135" s="36"/>
      <c r="F135" s="36"/>
      <c r="G135" s="86">
        <v>35000</v>
      </c>
      <c r="H135" s="37"/>
      <c r="I135" s="36">
        <v>0</v>
      </c>
    </row>
    <row r="136" spans="1:9" ht="12.75">
      <c r="A136" s="15"/>
      <c r="B136" s="27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5" t="s">
        <v>102</v>
      </c>
      <c r="B1" s="115"/>
      <c r="C1" s="115"/>
      <c r="D1" s="115"/>
      <c r="E1" s="115"/>
      <c r="F1" s="115"/>
      <c r="G1" s="115"/>
      <c r="H1" s="115"/>
      <c r="I1" s="29"/>
    </row>
    <row r="2" spans="1:9" ht="15">
      <c r="A2" s="116" t="s">
        <v>141</v>
      </c>
      <c r="B2" s="116"/>
      <c r="C2" s="116"/>
      <c r="D2" s="116"/>
      <c r="E2" s="116"/>
      <c r="F2" s="116"/>
      <c r="G2" s="116"/>
      <c r="H2" s="116"/>
      <c r="I2" s="30"/>
    </row>
    <row r="3" spans="1:9" ht="5.25" customHeight="1" hidden="1">
      <c r="A3" s="117" t="s">
        <v>0</v>
      </c>
      <c r="B3" s="117"/>
      <c r="C3" s="117"/>
      <c r="D3" s="117"/>
      <c r="E3" s="117"/>
      <c r="F3" s="117"/>
      <c r="G3" s="117"/>
      <c r="H3" s="117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24" t="s">
        <v>3</v>
      </c>
      <c r="B6" s="125"/>
      <c r="C6" s="125"/>
      <c r="D6" s="125"/>
      <c r="E6" s="125"/>
      <c r="F6" s="125"/>
      <c r="G6" s="125"/>
      <c r="H6" s="125"/>
      <c r="I6" s="126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21" t="s">
        <v>22</v>
      </c>
      <c r="B72" s="122"/>
      <c r="C72" s="122"/>
      <c r="D72" s="122"/>
      <c r="E72" s="122"/>
      <c r="F72" s="122"/>
      <c r="G72" s="122"/>
      <c r="H72" s="122"/>
      <c r="I72" s="123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2024-02-26T05:01:47Z</cp:lastPrinted>
  <dcterms:created xsi:type="dcterms:W3CDTF">2010-09-10T01:16:58Z</dcterms:created>
  <dcterms:modified xsi:type="dcterms:W3CDTF">2024-03-27T03:15:58Z</dcterms:modified>
  <cp:category/>
  <cp:version/>
  <cp:contentType/>
  <cp:contentStatus/>
</cp:coreProperties>
</file>