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2"/>
  </bookViews>
  <sheets>
    <sheet name="Январь" sheetId="1" r:id="rId1"/>
    <sheet name="Февраль" sheetId="2" r:id="rId2"/>
    <sheet name="март" sheetId="3" r:id="rId3"/>
    <sheet name="май1" sheetId="4" state="hidden" r:id="rId4"/>
  </sheets>
  <definedNames>
    <definedName name="_xlnm.Print_Titles" localSheetId="3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<sst xmlns="http://schemas.openxmlformats.org/spreadsheetml/2006/main" count="638" uniqueCount="170">
  <si>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</si>
  <si>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</si>
  <si>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</si>
  <si>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</si>
  <si>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</si>
  <si>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</si>
  <si>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</si>
  <si>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</si>
  <si>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</si>
  <si>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</si>
  <si>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</si>
  <si>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</si>
  <si>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</si>
  <si>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</si>
  <si>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</si>
  <si>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</si>
  <si>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</si>
  <si>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</si>
  <si>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</si>
  <si>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</si>
  <si>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</si>
  <si>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</si>
  <si>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</si>
  <si>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</si>
  <si>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</si>
  <si>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</si>
  <si>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</si>
  <si>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</si>
  <si>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</si>
  <si>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</si>
  <si>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</si>
  <si>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</si>
  <si>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</si>
  <si>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</si>
  <si>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</si>
  <si>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</si>
  <si>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</si>
  <si>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</si>
  <si>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</si>
  <si>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</si>
  <si>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</si>
  <si>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</si>
  <si>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</si>
  <si>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</si>
  <si>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</si>
  <si>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</si>
  <si>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</si>
  <si>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</si>
  <si>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</si>
  <si>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</si>
  <si>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</si>
  <si>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</si>
  <si>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</si>
  <si>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</si>
  <si>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</si>
  <si>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</si>
  <si>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</si>
  <si>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</si>
  <si>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</si>
  <si>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</si>
  <si>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</si>
  <si>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</si>
  <si>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</si>
  <si>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</si>
  <si>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</si>
  <si>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</si>
  <si>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</si>
  <si>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</si>
  <si>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</si>
  <si>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</si>
  <si>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</si>
  <si>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</si>
  <si>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</si>
  <si>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</si>
  <si>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</si>
  <si>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</si>
  <si>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</si>
  <si>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</si>
  <si>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</si>
  <si>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</si>
  <si>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</si>
  <si>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</si>
  <si>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</si>
  <si>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</si>
  <si>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</si>
  <si>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</si>
  <si>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</si>
  <si>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</si>
  <si>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</si>
  <si>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</si>
  <si>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</si>
  <si>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</si>
  <si>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</si>
  <si>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</si>
  <si>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</si>
  <si>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</si>
  <si>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</si>
  <si>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</si>
  <si>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</si>
  <si>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</si>
  <si>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</si>
  <si>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</si>
  <si>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</si>
  <si>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</si>
  <si>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</si>
  <si>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</si>
  <si>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</si>
  <si>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</si>
  <si>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</si>
  <si>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</si>
  <si>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</si>
  <si>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</si>
  <si>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</si>
  <si>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</si>
  <si>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</si>
  <si>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</si>
  <si>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</si>
  <si>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</si>
  <si>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</si>
  <si>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</si>
  <si>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</si>
  <si>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</si>
  <si>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</si>
  <si>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</si>
  <si>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</si>
  <si>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</si>
  <si>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</si>
  <si>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</si>
  <si>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</si>
  <si>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</si>
  <si>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</si>
  <si>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</si>
  <si>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</si>
  <si>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</si>
  <si>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</si>
  <si>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</si>
  <si>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</si>
  <si>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</si>
  <si>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</si>
  <si>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</si>
  <si>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</si>
  <si>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</si>
  <si>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</si>
  <si>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</si>
  <si>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</si>
  <si>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</si>
  <si>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</si>
  <si>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</si>
  <si>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</si>
  <si>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</si>
  <si>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</si>
  <si>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</si>
  <si>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</si>
  <si>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</si>
  <si>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</si>
  <si>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</si>
  <si>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</si>
  <si>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</si>
  <si>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</si>
  <si>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</si>
  <si>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</si>
  <si>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</si>
  <si>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</si>
  <si>
    <t>на 01 апреля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</si>
  <si>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</si>
  <si>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Другие вопросы в области охраны окружающей среды</t>
  </si>
  <si>
    <t xml:space="preserve">Охрана объектов растительного и животного мира и среды их обитания </t>
  </si>
  <si>
    <t>План за 3 мес 2023 г.</t>
  </si>
  <si>
    <t>На 01.04.2023</t>
  </si>
  <si>
    <t>На 01.04.2022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</si>
</sst>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Alignment="1" applyProtection="1">
      <alignment horizontal="center" vertical="top"/>
      <protection locked="0"/>
    </xf>
    <xf numFmtId="179" fontId="2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8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79" fontId="3" fillId="0" borderId="10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29"/>
    </row>
    <row r="2" spans="1:9" ht="15">
      <c r="A2" s="97" t="s">
        <v>149</v>
      </c>
      <c r="B2" s="97"/>
      <c r="C2" s="97"/>
      <c r="D2" s="97"/>
      <c r="E2" s="97"/>
      <c r="F2" s="97"/>
      <c r="G2" s="97"/>
      <c r="H2" s="97"/>
      <c r="I2" s="30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93" t="s">
        <v>22</v>
      </c>
      <c r="B78" s="94"/>
      <c r="C78" s="94"/>
      <c r="D78" s="94"/>
      <c r="E78" s="94"/>
      <c r="F78" s="94"/>
      <c r="G78" s="94"/>
      <c r="H78" s="94"/>
      <c r="I78" s="95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82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82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79" t="s">
        <v>56</v>
      </c>
      <c r="B128" s="80">
        <f>B73-B127</f>
        <v>-125350.25999999978</v>
      </c>
      <c r="C128" s="80">
        <f>C73-C127</f>
        <v>-41683.89</v>
      </c>
      <c r="D128" s="80">
        <f>D73-D127</f>
        <v>-29569.47999999998</v>
      </c>
      <c r="E128" s="80"/>
      <c r="F128" s="80"/>
      <c r="G128" s="80">
        <v>640.2067800000077</v>
      </c>
      <c r="H128" s="80"/>
      <c r="I128" s="80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77">
        <f>B132+B133</f>
        <v>99223.6</v>
      </c>
      <c r="C130" s="77">
        <f>C132+C133</f>
        <v>0</v>
      </c>
      <c r="D130" s="77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78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78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81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3" sqref="B133:B135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29"/>
    </row>
    <row r="2" spans="1:9" ht="15">
      <c r="A2" s="97" t="s">
        <v>153</v>
      </c>
      <c r="B2" s="97"/>
      <c r="C2" s="97"/>
      <c r="D2" s="97"/>
      <c r="E2" s="97"/>
      <c r="F2" s="97"/>
      <c r="G2" s="97"/>
      <c r="H2" s="97"/>
      <c r="I2" s="30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99" t="s">
        <v>3</v>
      </c>
      <c r="B6" s="100"/>
      <c r="C6" s="100"/>
      <c r="D6" s="100"/>
      <c r="E6" s="100"/>
      <c r="F6" s="100"/>
      <c r="G6" s="100"/>
      <c r="H6" s="100"/>
      <c r="I6" s="101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93" t="s">
        <v>22</v>
      </c>
      <c r="B78" s="94"/>
      <c r="C78" s="94"/>
      <c r="D78" s="94"/>
      <c r="E78" s="94"/>
      <c r="F78" s="94"/>
      <c r="G78" s="94"/>
      <c r="H78" s="94"/>
      <c r="I78" s="95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79" t="s">
        <v>56</v>
      </c>
      <c r="B127" s="80">
        <f>B73-B126</f>
        <v>-125350.23999999976</v>
      </c>
      <c r="C127" s="80">
        <f>C73-C126</f>
        <v>-31064.140000000014</v>
      </c>
      <c r="D127" s="80">
        <f>D73-D126</f>
        <v>27826.380000000005</v>
      </c>
      <c r="E127" s="80"/>
      <c r="F127" s="80"/>
      <c r="G127" s="80">
        <v>52519.868679999985</v>
      </c>
      <c r="H127" s="80"/>
      <c r="I127" s="80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77">
        <f>B131+B132</f>
        <v>99223.6</v>
      </c>
      <c r="C129" s="77">
        <f aca="true" t="shared" si="4" ref="C129:H129">C131+C132</f>
        <v>0</v>
      </c>
      <c r="D129" s="77">
        <f t="shared" si="4"/>
        <v>92049.9</v>
      </c>
      <c r="E129" s="77">
        <f t="shared" si="4"/>
        <v>0</v>
      </c>
      <c r="F129" s="77">
        <f t="shared" si="4"/>
        <v>0</v>
      </c>
      <c r="G129" s="77">
        <v>83341.6</v>
      </c>
      <c r="H129" s="77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78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78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78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SheetLayoutView="100" zoomScalePageLayoutView="0" workbookViewId="0" topLeftCell="A1">
      <pane xSplit="1" ySplit="6" topLeftCell="B1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1" sqref="C11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02" t="s">
        <v>102</v>
      </c>
      <c r="B1" s="102"/>
      <c r="C1" s="102"/>
      <c r="D1" s="102"/>
      <c r="E1" s="102"/>
      <c r="F1" s="102"/>
      <c r="G1" s="102"/>
      <c r="H1" s="102"/>
      <c r="I1" s="86"/>
    </row>
    <row r="2" spans="1:9" ht="12.75">
      <c r="A2" s="103" t="s">
        <v>163</v>
      </c>
      <c r="B2" s="103"/>
      <c r="C2" s="103"/>
      <c r="D2" s="103"/>
      <c r="E2" s="103"/>
      <c r="F2" s="103"/>
      <c r="G2" s="103"/>
      <c r="H2" s="103"/>
      <c r="I2" s="87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1"/>
    </row>
    <row r="4" spans="1:9" ht="45" customHeight="1">
      <c r="A4" s="4" t="s">
        <v>1</v>
      </c>
      <c r="B4" s="17" t="s">
        <v>2</v>
      </c>
      <c r="C4" s="17" t="s">
        <v>167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04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46" t="s">
        <v>104</v>
      </c>
      <c r="B7" s="33">
        <f>B8+B17+B22+B27+B30+B38+B47+B48+B49+B53+B64</f>
        <v>722378.16</v>
      </c>
      <c r="C7" s="33">
        <f>C8+C17+C22+C27+C30+C38+C47+C48+C49+C53+C64</f>
        <v>105759.7</v>
      </c>
      <c r="D7" s="33">
        <f>D8+D17+D22+D27+D30+D38+D47+D48+D49+D53+D64+D37</f>
        <v>123074.50000000003</v>
      </c>
      <c r="E7" s="25">
        <f>D7/B7*100</f>
        <v>17.037406003525913</v>
      </c>
      <c r="F7" s="25">
        <v>27699.089999999997</v>
      </c>
      <c r="G7" s="33">
        <f>G8+G17+G22+G27+G30+G37+G46+G47+G48+G52+G63</f>
        <v>159277.89248000004</v>
      </c>
      <c r="H7" s="25">
        <f>C7/G7*100</f>
        <v>66.39948479559388</v>
      </c>
      <c r="I7" s="33">
        <f>D7-Февраль!D7</f>
        <v>95792.56000000003</v>
      </c>
    </row>
    <row r="8" spans="1:9" ht="12.75">
      <c r="A8" s="47" t="s">
        <v>4</v>
      </c>
      <c r="B8" s="25">
        <f>B9+B10</f>
        <v>365325.60000000003</v>
      </c>
      <c r="C8" s="25">
        <f>C9+C10</f>
        <v>53091</v>
      </c>
      <c r="D8" s="25">
        <f>D9+D10</f>
        <v>65152.500000000015</v>
      </c>
      <c r="E8" s="25">
        <f aca="true" t="shared" si="0" ref="E8:E73">D8/B8*100</f>
        <v>17.8340910136054</v>
      </c>
      <c r="F8" s="25">
        <v>10645.39</v>
      </c>
      <c r="G8" s="25">
        <f>G9+G10</f>
        <v>110052.13650000001</v>
      </c>
      <c r="H8" s="25">
        <f aca="true" t="shared" si="1" ref="H8:H73">C8/G8*100</f>
        <v>48.241680432982776</v>
      </c>
      <c r="I8" s="33">
        <f>D8-Февраль!D8</f>
        <v>49114.80000000002</v>
      </c>
    </row>
    <row r="9" spans="1:9" ht="25.5">
      <c r="A9" s="54" t="s">
        <v>5</v>
      </c>
      <c r="B9" s="27">
        <v>8631</v>
      </c>
      <c r="C9" s="27">
        <v>1550</v>
      </c>
      <c r="D9" s="27">
        <v>4320.8</v>
      </c>
      <c r="E9" s="27">
        <f t="shared" si="0"/>
        <v>50.061406557756925</v>
      </c>
      <c r="F9" s="25">
        <v>200.86</v>
      </c>
      <c r="G9" s="26">
        <f>2018091.26/1000</f>
        <v>2018.09126</v>
      </c>
      <c r="H9" s="25">
        <f t="shared" si="1"/>
        <v>76.80524814323807</v>
      </c>
      <c r="I9" s="33">
        <f>D9-Февраль!D9</f>
        <v>3930.61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51541</v>
      </c>
      <c r="D10" s="33">
        <f>SUM(D11:D16)</f>
        <v>60831.70000000001</v>
      </c>
      <c r="E10" s="25">
        <f t="shared" si="0"/>
        <v>17.054281169381316</v>
      </c>
      <c r="F10" s="25">
        <v>10444.529999999999</v>
      </c>
      <c r="G10" s="33">
        <f>SUM(G11:G15)</f>
        <v>108034.04524</v>
      </c>
      <c r="H10" s="25">
        <f t="shared" si="1"/>
        <v>47.70810894426894</v>
      </c>
      <c r="I10" s="33">
        <f>D10-Февраль!D10</f>
        <v>45184.19000000002</v>
      </c>
    </row>
    <row r="11" spans="1:9" ht="51">
      <c r="A11" s="51" t="s">
        <v>74</v>
      </c>
      <c r="B11" s="27">
        <v>336860.2</v>
      </c>
      <c r="C11" s="27">
        <v>47000</v>
      </c>
      <c r="D11" s="27">
        <v>59705.3</v>
      </c>
      <c r="E11" s="27">
        <f t="shared" si="0"/>
        <v>17.724058823215092</v>
      </c>
      <c r="F11" s="27">
        <v>10058</v>
      </c>
      <c r="G11" s="27">
        <f>59420453.9/1000</f>
        <v>59420.4539</v>
      </c>
      <c r="H11" s="25">
        <f t="shared" si="1"/>
        <v>79.09734260713886</v>
      </c>
      <c r="I11" s="33">
        <f>D11-Февраль!D11</f>
        <v>44168.8</v>
      </c>
    </row>
    <row r="12" spans="1:9" ht="51" customHeight="1">
      <c r="A12" s="51" t="s">
        <v>75</v>
      </c>
      <c r="B12" s="27">
        <v>1745</v>
      </c>
      <c r="C12" s="27">
        <v>81</v>
      </c>
      <c r="D12" s="27">
        <v>-166.2</v>
      </c>
      <c r="E12" s="27">
        <f t="shared" si="0"/>
        <v>-9.524355300859598</v>
      </c>
      <c r="F12" s="27">
        <v>81.56</v>
      </c>
      <c r="G12" s="27">
        <f>115505.25/1000</f>
        <v>115.50525</v>
      </c>
      <c r="H12" s="25">
        <f t="shared" si="1"/>
        <v>70.12668255339042</v>
      </c>
      <c r="I12" s="33">
        <f>D12-Февраль!D12</f>
        <v>47.07000000000002</v>
      </c>
    </row>
    <row r="13" spans="1:9" ht="25.5">
      <c r="A13" s="51" t="s">
        <v>76</v>
      </c>
      <c r="B13" s="27">
        <v>5600.4</v>
      </c>
      <c r="C13" s="27">
        <v>1180</v>
      </c>
      <c r="D13" s="27">
        <v>-48.7</v>
      </c>
      <c r="E13" s="27">
        <f t="shared" si="0"/>
        <v>-0.8695807442325549</v>
      </c>
      <c r="F13" s="27">
        <v>117.15</v>
      </c>
      <c r="G13" s="27">
        <f>1130172.48/1000</f>
        <v>1130.17248</v>
      </c>
      <c r="H13" s="25">
        <f t="shared" si="1"/>
        <v>104.40884209107624</v>
      </c>
      <c r="I13" s="33">
        <f>D13-Февраль!D13</f>
        <v>133.08999999999997</v>
      </c>
    </row>
    <row r="14" spans="1:9" ht="63.75">
      <c r="A14" s="51" t="s">
        <v>78</v>
      </c>
      <c r="B14" s="27">
        <v>3850</v>
      </c>
      <c r="C14" s="27">
        <v>780</v>
      </c>
      <c r="D14" s="27">
        <v>827.3</v>
      </c>
      <c r="E14" s="27">
        <f t="shared" si="0"/>
        <v>21.488311688311686</v>
      </c>
      <c r="F14" s="27">
        <v>187.82</v>
      </c>
      <c r="G14" s="27">
        <f>806020.05/1000</f>
        <v>806.0200500000001</v>
      </c>
      <c r="H14" s="25">
        <f t="shared" si="1"/>
        <v>96.77178626015568</v>
      </c>
      <c r="I14" s="33">
        <f>D14-Февраль!D14</f>
        <v>364.80999999999995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305.2</v>
      </c>
      <c r="E15" s="27">
        <f t="shared" si="0"/>
        <v>3.5328162981826603</v>
      </c>
      <c r="F15" s="27"/>
      <c r="G15" s="34">
        <f>46561893.56/1000</f>
        <v>46561.893560000004</v>
      </c>
      <c r="H15" s="25">
        <f t="shared" si="1"/>
        <v>5.3691974463591805</v>
      </c>
      <c r="I15" s="33">
        <f>D15-Февраль!D15</f>
        <v>261.62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208.8</v>
      </c>
      <c r="E16" s="27">
        <v>0</v>
      </c>
      <c r="F16" s="27"/>
      <c r="G16" s="34">
        <v>0</v>
      </c>
      <c r="H16" s="25">
        <v>0</v>
      </c>
      <c r="I16" s="33">
        <f>D16-Февраль!D16</f>
        <v>-7303.75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12210</v>
      </c>
      <c r="D17" s="26">
        <f>SUM(D18:D21)</f>
        <v>15886.6</v>
      </c>
      <c r="E17" s="25">
        <f t="shared" si="0"/>
        <v>26.885674704084277</v>
      </c>
      <c r="F17" s="25">
        <v>1853.18</v>
      </c>
      <c r="G17" s="26">
        <f>SUM(G18:G21)</f>
        <v>14336.207300000002</v>
      </c>
      <c r="H17" s="25">
        <f t="shared" si="1"/>
        <v>85.16896934100554</v>
      </c>
      <c r="I17" s="33">
        <f>D17-Февраль!D16</f>
        <v>8374.05</v>
      </c>
    </row>
    <row r="18" spans="1:9" ht="37.5" customHeight="1">
      <c r="A18" s="37" t="s">
        <v>83</v>
      </c>
      <c r="B18" s="27">
        <v>27987.73</v>
      </c>
      <c r="C18" s="27">
        <v>5545</v>
      </c>
      <c r="D18" s="27">
        <v>8167</v>
      </c>
      <c r="E18" s="27">
        <f t="shared" si="0"/>
        <v>29.18064451815135</v>
      </c>
      <c r="F18" s="27">
        <v>844.23</v>
      </c>
      <c r="G18" s="83">
        <f>6885031.15/1000</f>
        <v>6885.031150000001</v>
      </c>
      <c r="H18" s="25">
        <f t="shared" si="1"/>
        <v>80.53703576925719</v>
      </c>
      <c r="I18" s="33">
        <f>D18-Февраль!D17</f>
        <v>4256.860000000001</v>
      </c>
    </row>
    <row r="19" spans="1:9" ht="56.25" customHeight="1">
      <c r="A19" s="37" t="s">
        <v>84</v>
      </c>
      <c r="B19" s="27">
        <v>194.4</v>
      </c>
      <c r="C19" s="27">
        <v>45</v>
      </c>
      <c r="D19" s="27">
        <v>33.5</v>
      </c>
      <c r="E19" s="27">
        <f t="shared" si="0"/>
        <v>17.232510288065843</v>
      </c>
      <c r="F19" s="27">
        <v>5.74</v>
      </c>
      <c r="G19" s="83">
        <f>44117.58/1000</f>
        <v>44.117580000000004</v>
      </c>
      <c r="H19" s="25">
        <f t="shared" si="1"/>
        <v>102.00015504023565</v>
      </c>
      <c r="I19" s="33">
        <f>D19-Февраль!D18</f>
        <v>19.39</v>
      </c>
    </row>
    <row r="20" spans="1:9" ht="55.5" customHeight="1">
      <c r="A20" s="37" t="s">
        <v>85</v>
      </c>
      <c r="B20" s="27">
        <v>34598.53</v>
      </c>
      <c r="C20" s="27">
        <v>7550</v>
      </c>
      <c r="D20" s="27">
        <v>8732.7</v>
      </c>
      <c r="E20" s="27">
        <f t="shared" si="0"/>
        <v>25.24008968011069</v>
      </c>
      <c r="F20" s="27">
        <v>1158.41</v>
      </c>
      <c r="G20" s="83">
        <f>8330774.04/1000</f>
        <v>8330.77404</v>
      </c>
      <c r="H20" s="25">
        <f t="shared" si="1"/>
        <v>90.62783318511421</v>
      </c>
      <c r="I20" s="33">
        <f>D20-Февраль!D19</f>
        <v>4749.35</v>
      </c>
    </row>
    <row r="21" spans="1:9" ht="15.75" customHeight="1">
      <c r="A21" s="37" t="s">
        <v>86</v>
      </c>
      <c r="B21" s="27">
        <v>-3691.2</v>
      </c>
      <c r="C21" s="27">
        <v>-930</v>
      </c>
      <c r="D21" s="27">
        <v>-1046.6</v>
      </c>
      <c r="E21" s="27">
        <f t="shared" si="0"/>
        <v>28.35392284351972</v>
      </c>
      <c r="F21" s="27">
        <v>-155.2</v>
      </c>
      <c r="G21" s="83">
        <f>-923715.47/1000</f>
        <v>-923.71547</v>
      </c>
      <c r="H21" s="25">
        <f t="shared" si="1"/>
        <v>100.68035344260284</v>
      </c>
      <c r="I21" s="33">
        <f>D21-Февраль!D20</f>
        <v>-651.55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23200</v>
      </c>
      <c r="D22" s="26">
        <f>SUM(D23:D26)</f>
        <v>20327.9</v>
      </c>
      <c r="E22" s="25">
        <f t="shared" si="0"/>
        <v>13.6464303144508</v>
      </c>
      <c r="F22" s="25">
        <v>7362.96</v>
      </c>
      <c r="G22" s="26">
        <f>SUM(G23:G26)</f>
        <v>24687.845930000003</v>
      </c>
      <c r="H22" s="25">
        <f t="shared" si="1"/>
        <v>93.97336675618179</v>
      </c>
      <c r="I22" s="33">
        <f>D22-Февраль!D21</f>
        <v>23193.4</v>
      </c>
    </row>
    <row r="23" spans="1:9" ht="28.5" customHeight="1">
      <c r="A23" s="51" t="s">
        <v>146</v>
      </c>
      <c r="B23" s="27">
        <v>116885.1</v>
      </c>
      <c r="C23" s="27">
        <v>15500</v>
      </c>
      <c r="D23" s="27">
        <v>21650.9</v>
      </c>
      <c r="E23" s="27">
        <f t="shared" si="0"/>
        <v>18.52323350024939</v>
      </c>
      <c r="F23" s="27"/>
      <c r="G23" s="27">
        <f>16433323.62/1000</f>
        <v>16433.32362</v>
      </c>
      <c r="H23" s="25">
        <f t="shared" si="1"/>
        <v>94.32054256593531</v>
      </c>
      <c r="I23" s="33">
        <f>D23-Февраль!D22</f>
        <v>22190.47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-685.5</v>
      </c>
      <c r="E24" s="27" t="s">
        <v>148</v>
      </c>
      <c r="F24" s="27">
        <v>7198.75</v>
      </c>
      <c r="G24" s="27">
        <f>67489.42/1000</f>
        <v>67.48942</v>
      </c>
      <c r="H24" s="25">
        <f t="shared" si="1"/>
        <v>0</v>
      </c>
      <c r="I24" s="33">
        <f>D24-Февраль!D23</f>
        <v>113.05999999999995</v>
      </c>
    </row>
    <row r="25" spans="1:9" ht="15" customHeight="1">
      <c r="A25" s="51" t="s">
        <v>87</v>
      </c>
      <c r="B25" s="27">
        <v>715</v>
      </c>
      <c r="C25" s="27">
        <v>0</v>
      </c>
      <c r="D25" s="27">
        <v>419.9</v>
      </c>
      <c r="E25" s="27">
        <f t="shared" si="0"/>
        <v>58.72727272727273</v>
      </c>
      <c r="F25" s="27">
        <v>113.58</v>
      </c>
      <c r="G25" s="34">
        <f>270118.75/1000</f>
        <v>270.11875</v>
      </c>
      <c r="H25" s="25">
        <f t="shared" si="1"/>
        <v>0</v>
      </c>
      <c r="I25" s="33">
        <f>D25-Февраль!D24</f>
        <v>420.13</v>
      </c>
    </row>
    <row r="26" spans="1:9" ht="27" customHeight="1">
      <c r="A26" s="51" t="s">
        <v>88</v>
      </c>
      <c r="B26" s="27">
        <v>31361.2</v>
      </c>
      <c r="C26" s="27">
        <v>7700</v>
      </c>
      <c r="D26" s="27">
        <v>-1057.4</v>
      </c>
      <c r="E26" s="27">
        <f t="shared" si="0"/>
        <v>-3.3716822060380345</v>
      </c>
      <c r="F26" s="27">
        <v>50.63</v>
      </c>
      <c r="G26" s="27">
        <f>7916914.14/1000</f>
        <v>7916.91414</v>
      </c>
      <c r="H26" s="25">
        <f t="shared" si="1"/>
        <v>97.26011756393761</v>
      </c>
      <c r="I26" s="33">
        <f>D26-Февраль!D25</f>
        <v>469.74</v>
      </c>
    </row>
    <row r="27" spans="1:9" ht="12.75">
      <c r="A27" s="54" t="s">
        <v>8</v>
      </c>
      <c r="B27" s="26">
        <f>SUM(B28:B29)</f>
        <v>42454.6</v>
      </c>
      <c r="C27" s="26">
        <f>SUM(C28:C29)</f>
        <v>4200</v>
      </c>
      <c r="D27" s="26">
        <f>SUM(D28:D29)</f>
        <v>3821.6</v>
      </c>
      <c r="E27" s="25">
        <f t="shared" si="0"/>
        <v>9.00161584374838</v>
      </c>
      <c r="F27" s="25">
        <v>2465.82</v>
      </c>
      <c r="G27" s="26">
        <f>SUM(G28:G29)</f>
        <v>4871.59875</v>
      </c>
      <c r="H27" s="25">
        <f t="shared" si="1"/>
        <v>86.21399699636592</v>
      </c>
      <c r="I27" s="33">
        <f>D27-Февраль!D26</f>
        <v>2797.98</v>
      </c>
    </row>
    <row r="28" spans="1:9" ht="12.75">
      <c r="A28" s="51" t="s">
        <v>106</v>
      </c>
      <c r="B28" s="27">
        <v>24668.5</v>
      </c>
      <c r="C28" s="27">
        <v>1700</v>
      </c>
      <c r="D28" s="27">
        <v>1483.1</v>
      </c>
      <c r="E28" s="27">
        <f t="shared" si="0"/>
        <v>6.012120720757241</v>
      </c>
      <c r="F28" s="27">
        <v>536.1</v>
      </c>
      <c r="G28" s="34">
        <f>2008973.14/1000</f>
        <v>2008.9731399999998</v>
      </c>
      <c r="H28" s="25">
        <f t="shared" si="1"/>
        <v>84.62034489918567</v>
      </c>
      <c r="I28" s="33">
        <f>D28-Февраль!D27</f>
        <v>699.2699999999999</v>
      </c>
    </row>
    <row r="29" spans="1:9" ht="12.75">
      <c r="A29" s="51" t="s">
        <v>107</v>
      </c>
      <c r="B29" s="27">
        <v>17786.1</v>
      </c>
      <c r="C29" s="27">
        <v>2500</v>
      </c>
      <c r="D29" s="27">
        <v>2338.5</v>
      </c>
      <c r="E29" s="27">
        <f t="shared" si="0"/>
        <v>13.14790763573802</v>
      </c>
      <c r="F29" s="27">
        <v>1929.72</v>
      </c>
      <c r="G29" s="27">
        <f>2862625.61/1000</f>
        <v>2862.62561</v>
      </c>
      <c r="H29" s="25">
        <f t="shared" si="1"/>
        <v>87.33241228845151</v>
      </c>
      <c r="I29" s="33">
        <f>D29-Февраль!D28</f>
        <v>2098.71</v>
      </c>
    </row>
    <row r="30" spans="1:9" ht="12.75">
      <c r="A30" s="47" t="s">
        <v>9</v>
      </c>
      <c r="B30" s="26">
        <f>SUM(B31:B33)</f>
        <v>15600</v>
      </c>
      <c r="C30" s="26">
        <f>SUM(C31:C33)</f>
        <v>3005</v>
      </c>
      <c r="D30" s="26">
        <f>SUM(D31:D33)</f>
        <v>4200.5</v>
      </c>
      <c r="E30" s="26">
        <f t="shared" si="0"/>
        <v>26.92628205128205</v>
      </c>
      <c r="F30" s="26">
        <v>793.07</v>
      </c>
      <c r="G30" s="27">
        <f>SUM(G31:G33)</f>
        <v>3688.88297</v>
      </c>
      <c r="H30" s="25">
        <f t="shared" si="1"/>
        <v>81.46097407909907</v>
      </c>
      <c r="I30" s="33">
        <f>D30-Февраль!D29</f>
        <v>1880.1100000000001</v>
      </c>
    </row>
    <row r="31" spans="1:9" ht="25.5">
      <c r="A31" s="51" t="s">
        <v>10</v>
      </c>
      <c r="B31" s="27">
        <v>15550</v>
      </c>
      <c r="C31" s="27">
        <v>3000</v>
      </c>
      <c r="D31" s="27">
        <v>4180.5</v>
      </c>
      <c r="E31" s="27">
        <f t="shared" si="0"/>
        <v>26.884244372990352</v>
      </c>
      <c r="F31" s="27">
        <v>793.07</v>
      </c>
      <c r="G31" s="27">
        <f>3647682.97/1000</f>
        <v>3647.6829700000003</v>
      </c>
      <c r="H31" s="25">
        <f t="shared" si="1"/>
        <v>82.24398953179859</v>
      </c>
      <c r="I31" s="33">
        <f>D31-Февраль!D30</f>
        <v>1875.1100000000001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83">
        <f>30000/1000</f>
        <v>30</v>
      </c>
      <c r="H32" s="25">
        <f t="shared" si="1"/>
        <v>0</v>
      </c>
      <c r="I32" s="33">
        <f>D32-Февраль!D31</f>
        <v>0</v>
      </c>
    </row>
    <row r="33" spans="1:9" ht="25.5">
      <c r="A33" s="51" t="s">
        <v>90</v>
      </c>
      <c r="B33" s="27">
        <v>50</v>
      </c>
      <c r="C33" s="27">
        <v>5</v>
      </c>
      <c r="D33" s="27">
        <v>20</v>
      </c>
      <c r="E33" s="27">
        <f t="shared" si="0"/>
        <v>40</v>
      </c>
      <c r="F33" s="27">
        <v>0</v>
      </c>
      <c r="G33" s="83">
        <f>11200/1000</f>
        <v>11.2</v>
      </c>
      <c r="H33" s="25">
        <f t="shared" si="1"/>
        <v>44.642857142857146</v>
      </c>
      <c r="I33" s="33">
        <f>D33-Февраль!D32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D34-Февраль!D33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D35-Февраль!D34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D36-Февраль!D35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27">
        <v>0</v>
      </c>
      <c r="H37" s="25">
        <v>0</v>
      </c>
      <c r="I37" s="33">
        <f>D37-Февраль!D36</f>
        <v>8.94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15184.4</v>
      </c>
      <c r="D38" s="26">
        <f>SUM(D40:D46)</f>
        <v>12052.5</v>
      </c>
      <c r="E38" s="26">
        <f t="shared" si="0"/>
        <v>20.887302668930232</v>
      </c>
      <c r="F38" s="26">
        <v>3247.05</v>
      </c>
      <c r="G38" s="26">
        <f>SUM(G40:G46)</f>
        <v>10853.76394</v>
      </c>
      <c r="H38" s="25">
        <f t="shared" si="1"/>
        <v>139.89985487007007</v>
      </c>
      <c r="I38" s="33">
        <f>D38-Февраль!D37</f>
        <v>3839.1099999999988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D39-Февраль!D38</f>
        <v>0</v>
      </c>
    </row>
    <row r="40" spans="1:9" ht="76.5">
      <c r="A40" s="51" t="s">
        <v>117</v>
      </c>
      <c r="B40" s="27">
        <v>29271.18</v>
      </c>
      <c r="C40" s="27">
        <v>7317.5</v>
      </c>
      <c r="D40" s="27">
        <v>5413.4</v>
      </c>
      <c r="E40" s="27">
        <f t="shared" si="0"/>
        <v>18.493958904287425</v>
      </c>
      <c r="F40" s="27">
        <v>2393.3</v>
      </c>
      <c r="G40" s="27">
        <f>6241904.19/1000</f>
        <v>6241.90419</v>
      </c>
      <c r="H40" s="25">
        <f t="shared" si="1"/>
        <v>117.23185389040711</v>
      </c>
      <c r="I40" s="33">
        <f>D40-Февраль!D39</f>
        <v>2254.0699999999997</v>
      </c>
    </row>
    <row r="41" spans="1:9" ht="76.5">
      <c r="A41" s="51" t="s">
        <v>125</v>
      </c>
      <c r="B41" s="27">
        <v>5434.31</v>
      </c>
      <c r="C41" s="27">
        <v>1358.6</v>
      </c>
      <c r="D41" s="27">
        <v>1324.8</v>
      </c>
      <c r="E41" s="27">
        <f t="shared" si="0"/>
        <v>24.378439949137977</v>
      </c>
      <c r="F41" s="27">
        <v>75.44</v>
      </c>
      <c r="G41" s="83">
        <f>683058.55/1000</f>
        <v>683.0585500000001</v>
      </c>
      <c r="H41" s="25">
        <f t="shared" si="1"/>
        <v>198.89949404776496</v>
      </c>
      <c r="I41" s="33">
        <f>D41-Февраль!D40</f>
        <v>214.56999999999994</v>
      </c>
    </row>
    <row r="42" spans="1:9" ht="76.5">
      <c r="A42" s="51" t="s">
        <v>118</v>
      </c>
      <c r="B42" s="27">
        <v>515.73</v>
      </c>
      <c r="C42" s="27">
        <v>122.8</v>
      </c>
      <c r="D42" s="27">
        <v>207.9</v>
      </c>
      <c r="E42" s="27">
        <f t="shared" si="0"/>
        <v>40.31179105345821</v>
      </c>
      <c r="F42" s="27">
        <v>3.43</v>
      </c>
      <c r="G42" s="83">
        <f>40939.04/1000</f>
        <v>40.93904</v>
      </c>
      <c r="H42" s="25">
        <f t="shared" si="1"/>
        <v>299.958181725805</v>
      </c>
      <c r="I42" s="33">
        <f>D42-Февраль!D41</f>
        <v>63.97</v>
      </c>
    </row>
    <row r="43" spans="1:9" ht="38.25">
      <c r="A43" s="51" t="s">
        <v>119</v>
      </c>
      <c r="B43" s="27">
        <v>17384.33</v>
      </c>
      <c r="C43" s="27">
        <v>4346.1</v>
      </c>
      <c r="D43" s="27">
        <v>3450.1</v>
      </c>
      <c r="E43" s="27">
        <f t="shared" si="0"/>
        <v>19.84603375568687</v>
      </c>
      <c r="F43" s="27">
        <v>538.73</v>
      </c>
      <c r="G43" s="83">
        <f>3256020/1000</f>
        <v>3256.02</v>
      </c>
      <c r="H43" s="25">
        <f t="shared" si="1"/>
        <v>133.47890983470617</v>
      </c>
      <c r="I43" s="33">
        <f>D43-Февраль!D42</f>
        <v>1035.7599999999998</v>
      </c>
    </row>
    <row r="44" spans="1:9" ht="44.25" customHeight="1">
      <c r="A44" s="51" t="s">
        <v>147</v>
      </c>
      <c r="B44" s="27">
        <v>62.2</v>
      </c>
      <c r="C44" s="27">
        <v>15.5</v>
      </c>
      <c r="D44" s="27">
        <v>8.1</v>
      </c>
      <c r="E44" s="27">
        <f t="shared" si="0"/>
        <v>13.022508038585206</v>
      </c>
      <c r="F44" s="27"/>
      <c r="G44" s="83">
        <v>0</v>
      </c>
      <c r="H44" s="25" t="s">
        <v>148</v>
      </c>
      <c r="I44" s="33">
        <f>D44-Февраль!D43</f>
        <v>2.59</v>
      </c>
    </row>
    <row r="45" spans="1:9" ht="51">
      <c r="A45" s="51" t="s">
        <v>120</v>
      </c>
      <c r="B45" s="27">
        <v>1531</v>
      </c>
      <c r="C45" s="27">
        <v>1148</v>
      </c>
      <c r="D45" s="27">
        <v>997.2</v>
      </c>
      <c r="E45" s="27">
        <f t="shared" si="0"/>
        <v>65.13389941214892</v>
      </c>
      <c r="F45" s="27">
        <v>0</v>
      </c>
      <c r="G45" s="83">
        <f>105492/1000</f>
        <v>105.492</v>
      </c>
      <c r="H45" s="25" t="s">
        <v>148</v>
      </c>
      <c r="I45" s="33">
        <f>D45-Февраль!D44</f>
        <v>0.009999999999990905</v>
      </c>
    </row>
    <row r="46" spans="1:9" ht="76.5">
      <c r="A46" s="51" t="s">
        <v>121</v>
      </c>
      <c r="B46" s="27">
        <v>3503.77</v>
      </c>
      <c r="C46" s="27">
        <v>875.9</v>
      </c>
      <c r="D46" s="27">
        <v>651</v>
      </c>
      <c r="E46" s="27">
        <f t="shared" si="0"/>
        <v>18.579986700040244</v>
      </c>
      <c r="F46" s="27">
        <v>236.15</v>
      </c>
      <c r="G46" s="34">
        <f>526350.16/1000</f>
        <v>526.3501600000001</v>
      </c>
      <c r="H46" s="25">
        <f t="shared" si="1"/>
        <v>166.41013275269069</v>
      </c>
      <c r="I46" s="33">
        <f>D46-Февраль!D45</f>
        <v>268.14</v>
      </c>
    </row>
    <row r="47" spans="1:9" ht="27" customHeight="1">
      <c r="A47" s="54" t="s">
        <v>13</v>
      </c>
      <c r="B47" s="33">
        <v>598.72</v>
      </c>
      <c r="C47" s="33">
        <v>163</v>
      </c>
      <c r="D47" s="33">
        <v>362.9</v>
      </c>
      <c r="E47" s="33">
        <f t="shared" si="0"/>
        <v>60.61264029930518</v>
      </c>
      <c r="F47" s="33">
        <v>43.6</v>
      </c>
      <c r="G47" s="27">
        <f>292037.99/1000</f>
        <v>292.03799</v>
      </c>
      <c r="H47" s="33">
        <f t="shared" si="1"/>
        <v>55.814656168534796</v>
      </c>
      <c r="I47" s="33">
        <f>D47-Февраль!D46</f>
        <v>188.14999999999998</v>
      </c>
    </row>
    <row r="48" spans="1:9" ht="25.5">
      <c r="A48" s="54" t="s">
        <v>96</v>
      </c>
      <c r="B48" s="33">
        <v>1290.36</v>
      </c>
      <c r="C48" s="33">
        <v>158.6</v>
      </c>
      <c r="D48" s="33">
        <v>273.2</v>
      </c>
      <c r="E48" s="33">
        <f t="shared" si="0"/>
        <v>21.172386000805975</v>
      </c>
      <c r="F48" s="33">
        <v>561.58</v>
      </c>
      <c r="G48" s="27">
        <f>188742.64/1000</f>
        <v>188.74264000000002</v>
      </c>
      <c r="H48" s="33">
        <f t="shared" si="1"/>
        <v>84.02976667063679</v>
      </c>
      <c r="I48" s="33">
        <f>D48-Февраль!D47</f>
        <v>152.57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1139.2</v>
      </c>
      <c r="E49" s="25">
        <f t="shared" si="0"/>
        <v>3.3604719764011803</v>
      </c>
      <c r="F49" s="25">
        <v>585.5</v>
      </c>
      <c r="G49" s="27">
        <f>SUM(G50:G52)</f>
        <v>657.2126499999999</v>
      </c>
      <c r="H49" s="25">
        <f t="shared" si="1"/>
        <v>0</v>
      </c>
      <c r="I49" s="33">
        <f>D49-Февраль!D48</f>
        <v>606.3000000000001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3137.41/1000</f>
        <v>3.13741</v>
      </c>
      <c r="H50" s="25" t="s">
        <v>148</v>
      </c>
      <c r="I50" s="33">
        <f>D50-Февраль!D49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27">
        <f>19985/1000</f>
        <v>19.985</v>
      </c>
      <c r="H51" s="25" t="s">
        <v>148</v>
      </c>
      <c r="I51" s="33">
        <f>D51-Февраль!D50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1139.2</v>
      </c>
      <c r="E52" s="27">
        <f t="shared" si="0"/>
        <v>81.37142857142857</v>
      </c>
      <c r="F52" s="27">
        <v>548.36</v>
      </c>
      <c r="G52" s="83">
        <f>634090.24/1000</f>
        <v>634.09024</v>
      </c>
      <c r="H52" s="25">
        <f t="shared" si="1"/>
        <v>0</v>
      </c>
      <c r="I52" s="33">
        <f>D52-Февраль!D51</f>
        <v>606.3000000000001</v>
      </c>
    </row>
    <row r="53" spans="1:9" ht="12.75">
      <c r="A53" s="54" t="s">
        <v>15</v>
      </c>
      <c r="B53" s="33">
        <v>-1455.1</v>
      </c>
      <c r="C53" s="33">
        <v>-4354.8</v>
      </c>
      <c r="D53" s="33">
        <v>961.6</v>
      </c>
      <c r="E53" s="26">
        <f t="shared" si="0"/>
        <v>-66.08480516802969</v>
      </c>
      <c r="F53" s="26">
        <v>179.73</v>
      </c>
      <c r="G53" s="27">
        <f>626993.54/1000</f>
        <v>626.99354</v>
      </c>
      <c r="H53" s="25">
        <f t="shared" si="1"/>
        <v>-694.552610542048</v>
      </c>
      <c r="I53" s="33">
        <f>D53-Февраль!D52</f>
        <v>5637.9400000000005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7"/>
      <c r="H54" s="25" t="e">
        <f t="shared" si="1"/>
        <v>#DIV/0!</v>
      </c>
      <c r="I54" s="33">
        <f>D54-Февраль!D53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5" t="e">
        <f t="shared" si="1"/>
        <v>#DIV/0!</v>
      </c>
      <c r="I55" s="33">
        <f>D55-Февраль!D54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7"/>
      <c r="H56" s="25" t="e">
        <f t="shared" si="1"/>
        <v>#DIV/0!</v>
      </c>
      <c r="I56" s="33">
        <f>D56-Февраль!D55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7"/>
      <c r="H57" s="25" t="e">
        <f t="shared" si="1"/>
        <v>#DIV/0!</v>
      </c>
      <c r="I57" s="33">
        <f>D57-Февраль!D56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7"/>
      <c r="H58" s="25" t="e">
        <f t="shared" si="1"/>
        <v>#DIV/0!</v>
      </c>
      <c r="I58" s="33">
        <f>D58-Февраль!D57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7"/>
      <c r="H59" s="25" t="e">
        <f t="shared" si="1"/>
        <v>#DIV/0!</v>
      </c>
      <c r="I59" s="33">
        <f>D59-Февраль!D58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7"/>
      <c r="H60" s="25" t="e">
        <f t="shared" si="1"/>
        <v>#DIV/0!</v>
      </c>
      <c r="I60" s="33">
        <f>D60-Февраль!D59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D61-Февраль!D60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D62-Февраль!D61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D63-Февраль!D62</f>
        <v>0</v>
      </c>
    </row>
    <row r="64" spans="1:9" ht="12.75">
      <c r="A64" s="47" t="s">
        <v>16</v>
      </c>
      <c r="B64" s="33">
        <v>-1089.3</v>
      </c>
      <c r="C64" s="33">
        <v>-1097.5</v>
      </c>
      <c r="D64" s="33">
        <v>-1095.9</v>
      </c>
      <c r="E64" s="26">
        <f t="shared" si="0"/>
        <v>100.60589369319747</v>
      </c>
      <c r="F64" s="26">
        <v>-38.79</v>
      </c>
      <c r="G64" s="83">
        <v>0.2</v>
      </c>
      <c r="H64" s="25" t="s">
        <v>148</v>
      </c>
      <c r="I64" s="33">
        <f>D64-Февраль!D63</f>
        <v>-0.790000000000191</v>
      </c>
    </row>
    <row r="65" spans="1:9" ht="12.75">
      <c r="A65" s="54" t="s">
        <v>17</v>
      </c>
      <c r="B65" s="26">
        <f>B64+B53+B49+B48+B47+B38+B30+B27+B22+B17+B8</f>
        <v>722378.16</v>
      </c>
      <c r="C65" s="26">
        <f>C64+C53+C49+C48+C47+C38+C30+C27+C22+C17+C8</f>
        <v>105759.7</v>
      </c>
      <c r="D65" s="26">
        <f>D64+D53+D49+D48+D47+D38+D30+D27+D22+D17+D8+D37</f>
        <v>123074.5</v>
      </c>
      <c r="E65" s="26">
        <f t="shared" si="0"/>
        <v>17.03740600352591</v>
      </c>
      <c r="F65" s="26">
        <v>27699.089999999997</v>
      </c>
      <c r="G65" s="27">
        <v>170255.62221</v>
      </c>
      <c r="H65" s="25">
        <f t="shared" si="1"/>
        <v>62.11818360368259</v>
      </c>
      <c r="I65" s="33">
        <f>D65-Февраль!D64</f>
        <v>95775.52</v>
      </c>
    </row>
    <row r="66" spans="1:9" ht="12.75">
      <c r="A66" s="54" t="s">
        <v>18</v>
      </c>
      <c r="B66" s="26">
        <f>B67+B72+B73</f>
        <v>3265042.1999999997</v>
      </c>
      <c r="C66" s="26">
        <f>C67+C72+C73</f>
        <v>806897.1000000001</v>
      </c>
      <c r="D66" s="26">
        <f>D67+D72+D73</f>
        <v>654632.2000000001</v>
      </c>
      <c r="E66" s="26">
        <f t="shared" si="0"/>
        <v>20.049731669624364</v>
      </c>
      <c r="F66" s="26">
        <v>43822.57000000001</v>
      </c>
      <c r="G66" s="27">
        <f>G67+G72+G73</f>
        <v>300176.78826999996</v>
      </c>
      <c r="H66" s="25">
        <f t="shared" si="1"/>
        <v>268.80729341211435</v>
      </c>
      <c r="I66" s="33">
        <f>D66-Февраль!D65</f>
        <v>314304.49000000005</v>
      </c>
    </row>
    <row r="67" spans="1:9" ht="25.5">
      <c r="A67" s="54" t="s">
        <v>19</v>
      </c>
      <c r="B67" s="26">
        <f>SUM(B68:B71)</f>
        <v>3273422.4</v>
      </c>
      <c r="C67" s="26">
        <f>SUM(C68:C71)</f>
        <v>815277.3</v>
      </c>
      <c r="D67" s="26">
        <f>SUM(D68:D71)</f>
        <v>663012.4</v>
      </c>
      <c r="E67" s="26">
        <f t="shared" si="0"/>
        <v>20.254410185498823</v>
      </c>
      <c r="F67" s="26">
        <v>46091.770000000004</v>
      </c>
      <c r="G67" s="27">
        <f>SUM(G68:G71)</f>
        <v>318549.72033</v>
      </c>
      <c r="H67" s="25">
        <f t="shared" si="1"/>
        <v>255.93408123398058</v>
      </c>
      <c r="I67" s="33">
        <f>D67-Февраль!D66</f>
        <v>293130.13</v>
      </c>
    </row>
    <row r="68" spans="1:9" ht="12.75">
      <c r="A68" s="51" t="s">
        <v>108</v>
      </c>
      <c r="B68" s="27">
        <v>565077</v>
      </c>
      <c r="C68" s="27">
        <v>174315.6</v>
      </c>
      <c r="D68" s="27">
        <v>217199</v>
      </c>
      <c r="E68" s="25">
        <f t="shared" si="0"/>
        <v>38.43706255961577</v>
      </c>
      <c r="F68" s="25">
        <v>15902.8</v>
      </c>
      <c r="G68" s="27">
        <f>106361300/1000</f>
        <v>106361.3</v>
      </c>
      <c r="H68" s="25">
        <f t="shared" si="1"/>
        <v>163.8900615167359</v>
      </c>
      <c r="I68" s="33">
        <f>D68-Февраль!D67</f>
        <v>51845</v>
      </c>
    </row>
    <row r="69" spans="1:9" ht="12.75" customHeight="1">
      <c r="A69" s="51" t="s">
        <v>109</v>
      </c>
      <c r="B69" s="27">
        <v>1404832</v>
      </c>
      <c r="C69" s="27">
        <v>376321.3</v>
      </c>
      <c r="D69" s="27">
        <v>198359.7</v>
      </c>
      <c r="E69" s="25">
        <f t="shared" si="0"/>
        <v>14.119816462039589</v>
      </c>
      <c r="F69" s="25">
        <v>0</v>
      </c>
      <c r="G69" s="27">
        <f>16207497.97/1000</f>
        <v>16207.49797</v>
      </c>
      <c r="H69" s="25">
        <f t="shared" si="1"/>
        <v>2321.8963266049386</v>
      </c>
      <c r="I69" s="33">
        <f>D69-Февраль!D68</f>
        <v>131409.63</v>
      </c>
    </row>
    <row r="70" spans="1:9" ht="18.75" customHeight="1">
      <c r="A70" s="51" t="s">
        <v>110</v>
      </c>
      <c r="B70" s="27">
        <v>1246629.9</v>
      </c>
      <c r="C70" s="27">
        <v>255995.9</v>
      </c>
      <c r="D70" s="27">
        <v>237754.8</v>
      </c>
      <c r="E70" s="25">
        <f t="shared" si="0"/>
        <v>19.071803106920505</v>
      </c>
      <c r="F70" s="25">
        <v>30188.97</v>
      </c>
      <c r="G70" s="27">
        <f>187890322.36/1000</f>
        <v>187890.32236000002</v>
      </c>
      <c r="H70" s="25">
        <f t="shared" si="1"/>
        <v>136.2475175860888</v>
      </c>
      <c r="I70" s="33">
        <f>D70-Февраль!D69</f>
        <v>104102.59999999998</v>
      </c>
    </row>
    <row r="71" spans="1:9" ht="12.75" customHeight="1">
      <c r="A71" s="2" t="s">
        <v>122</v>
      </c>
      <c r="B71" s="27">
        <v>56883.5</v>
      </c>
      <c r="C71" s="27">
        <v>8644.5</v>
      </c>
      <c r="D71" s="27">
        <v>9698.9</v>
      </c>
      <c r="E71" s="25">
        <f t="shared" si="0"/>
        <v>17.05046278797894</v>
      </c>
      <c r="F71" s="25">
        <v>0</v>
      </c>
      <c r="G71" s="34">
        <f>8090600/1000</f>
        <v>8090.6</v>
      </c>
      <c r="H71" s="25" t="s">
        <v>148</v>
      </c>
      <c r="I71" s="33">
        <f>D71-Февраль!D70</f>
        <v>5772.9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83">
        <v>0</v>
      </c>
      <c r="H72" s="25" t="s">
        <v>148</v>
      </c>
      <c r="I72" s="33">
        <f>D72-Февраль!D71</f>
        <v>0</v>
      </c>
    </row>
    <row r="73" spans="1:9" ht="25.5">
      <c r="A73" s="54" t="s">
        <v>21</v>
      </c>
      <c r="B73" s="33">
        <v>-8380.2</v>
      </c>
      <c r="C73" s="33">
        <v>-8380.2</v>
      </c>
      <c r="D73" s="33">
        <v>-8380.2</v>
      </c>
      <c r="E73" s="26">
        <f t="shared" si="0"/>
        <v>100</v>
      </c>
      <c r="F73" s="26">
        <v>-2269.2</v>
      </c>
      <c r="G73" s="83">
        <f>-18372932.06/1000</f>
        <v>-18372.93206</v>
      </c>
      <c r="H73" s="25">
        <f t="shared" si="1"/>
        <v>45.611663792327775</v>
      </c>
      <c r="I73" s="33">
        <f>D73-Февраль!D72</f>
        <v>21174.36</v>
      </c>
    </row>
    <row r="74" spans="1:9" ht="12.75">
      <c r="A74" s="47" t="s">
        <v>20</v>
      </c>
      <c r="B74" s="26">
        <f>B65+B66</f>
        <v>3987420.36</v>
      </c>
      <c r="C74" s="26">
        <f>C65+C66</f>
        <v>912656.8</v>
      </c>
      <c r="D74" s="26">
        <f>D65+D66</f>
        <v>777706.7000000001</v>
      </c>
      <c r="E74" s="25">
        <f>D74/B74*100</f>
        <v>19.50400584301576</v>
      </c>
      <c r="F74" s="25">
        <v>71521.66</v>
      </c>
      <c r="G74" s="26">
        <v>470432.41047999996</v>
      </c>
      <c r="H74" s="25">
        <f>C74/G74*100</f>
        <v>194.00381004123034</v>
      </c>
      <c r="I74" s="33">
        <f>D74-Февраль!D73</f>
        <v>410097.05000000005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06" t="s">
        <v>22</v>
      </c>
      <c r="B79" s="106"/>
      <c r="C79" s="106"/>
      <c r="D79" s="106"/>
      <c r="E79" s="106"/>
      <c r="F79" s="106"/>
      <c r="G79" s="106"/>
      <c r="H79" s="106"/>
      <c r="I79" s="106"/>
    </row>
    <row r="80" spans="1:9" ht="12.75">
      <c r="A80" s="7" t="s">
        <v>23</v>
      </c>
      <c r="B80" s="33">
        <f>B81+B82+B83+B84+B85+B86+B87+B88</f>
        <v>443081.24</v>
      </c>
      <c r="C80" s="33">
        <f>C81+C82+C83+C84+C85+C86+C87+C88</f>
        <v>77554.6</v>
      </c>
      <c r="D80" s="33">
        <f>D81+D82+D83+D84+D85+D86+D87+D88</f>
        <v>76883.79999999999</v>
      </c>
      <c r="E80" s="25">
        <f>$D:$D/$B:$B*100</f>
        <v>17.352077465523024</v>
      </c>
      <c r="F80" s="25">
        <f>$D:$D/$C:$C*100</f>
        <v>99.13506097639596</v>
      </c>
      <c r="G80" s="33">
        <f>G81+G82+G83+G84+G85+G86+G87+G88</f>
        <v>27636.5836</v>
      </c>
      <c r="H80" s="25">
        <f>$D:$D/$G:$G*100</f>
        <v>278.19574630780335</v>
      </c>
      <c r="I80" s="33">
        <f>D80-Февраль!D79</f>
        <v>20957.749999999985</v>
      </c>
    </row>
    <row r="81" spans="1:9" ht="14.25" customHeight="1">
      <c r="A81" s="8" t="s">
        <v>24</v>
      </c>
      <c r="B81" s="27">
        <v>3112.77</v>
      </c>
      <c r="C81" s="27">
        <v>1024.9</v>
      </c>
      <c r="D81" s="27">
        <v>992.9</v>
      </c>
      <c r="E81" s="28">
        <f>$D:$D/$B:$B*100</f>
        <v>31.897634582702867</v>
      </c>
      <c r="F81" s="28">
        <v>0</v>
      </c>
      <c r="G81" s="66">
        <v>316.63378</v>
      </c>
      <c r="H81" s="28">
        <v>0</v>
      </c>
      <c r="I81" s="33">
        <f>D81-Февраль!D80</f>
        <v>581.5799999999999</v>
      </c>
    </row>
    <row r="82" spans="1:9" ht="12.75">
      <c r="A82" s="8" t="s">
        <v>25</v>
      </c>
      <c r="B82" s="27">
        <v>7499.62</v>
      </c>
      <c r="C82" s="27">
        <v>1853.4</v>
      </c>
      <c r="D82" s="27">
        <v>1853.4</v>
      </c>
      <c r="E82" s="28">
        <f>$D:$D/$B:$B*100</f>
        <v>24.71325213810833</v>
      </c>
      <c r="F82" s="28">
        <f>$D:$D/$C:$C*100</f>
        <v>100</v>
      </c>
      <c r="G82" s="66">
        <v>1241.25197</v>
      </c>
      <c r="H82" s="28">
        <f>$D:$D/$G:$G*100</f>
        <v>149.31698356136346</v>
      </c>
      <c r="I82" s="33">
        <f>D82-Февраль!D81</f>
        <v>936.2300000000001</v>
      </c>
    </row>
    <row r="83" spans="1:9" ht="25.5">
      <c r="A83" s="8" t="s">
        <v>26</v>
      </c>
      <c r="B83" s="27">
        <v>68916.66</v>
      </c>
      <c r="C83" s="27">
        <v>17000.7</v>
      </c>
      <c r="D83" s="27">
        <v>16717.6</v>
      </c>
      <c r="E83" s="28">
        <f>$D:$D/$B:$B*100</f>
        <v>24.257704885872293</v>
      </c>
      <c r="F83" s="28">
        <f>$D:$D/$C:$C*100</f>
        <v>98.3347744504638</v>
      </c>
      <c r="G83" s="66">
        <v>14036.444660000001</v>
      </c>
      <c r="H83" s="28">
        <f>$D:$D/$G:$G*100</f>
        <v>119.1013850369143</v>
      </c>
      <c r="I83" s="33">
        <f>D83-Февраль!D82</f>
        <v>8936.499999999998</v>
      </c>
    </row>
    <row r="84" spans="1:9" ht="12.75">
      <c r="A84" s="8" t="s">
        <v>72</v>
      </c>
      <c r="B84" s="27">
        <v>4</v>
      </c>
      <c r="C84" s="27">
        <v>3.8</v>
      </c>
      <c r="D84" s="27">
        <v>3.8</v>
      </c>
      <c r="E84" s="28">
        <v>0</v>
      </c>
      <c r="F84" s="28">
        <v>0</v>
      </c>
      <c r="G84" s="66">
        <v>170</v>
      </c>
      <c r="H84" s="28">
        <v>0</v>
      </c>
      <c r="I84" s="33">
        <f>D84-Февраль!D83</f>
        <v>3.8</v>
      </c>
    </row>
    <row r="85" spans="1:9" ht="25.5">
      <c r="A85" s="1" t="s">
        <v>27</v>
      </c>
      <c r="B85" s="27">
        <v>17625.39</v>
      </c>
      <c r="C85" s="27">
        <v>4014.7</v>
      </c>
      <c r="D85" s="27">
        <v>3928.1</v>
      </c>
      <c r="E85" s="28">
        <f>$D:$D/$B:$B*100</f>
        <v>22.286599048304748</v>
      </c>
      <c r="F85" s="28">
        <v>0</v>
      </c>
      <c r="G85" s="66">
        <v>2835.64259</v>
      </c>
      <c r="H85" s="28">
        <f>$D:$D/$G:$G*100</f>
        <v>138.5259205039659</v>
      </c>
      <c r="I85" s="33">
        <f>D85-Февраль!D84</f>
        <v>2162.75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D86-Февраль!D85</f>
        <v>0</v>
      </c>
    </row>
    <row r="87" spans="1:9" ht="12.75">
      <c r="A87" s="8" t="s">
        <v>29</v>
      </c>
      <c r="B87" s="27">
        <v>23085.4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D87-Февраль!D86</f>
        <v>0</v>
      </c>
    </row>
    <row r="88" spans="1:9" ht="12.75">
      <c r="A88" s="1" t="s">
        <v>30</v>
      </c>
      <c r="B88" s="27">
        <v>322837.4</v>
      </c>
      <c r="C88" s="27">
        <v>53657.1</v>
      </c>
      <c r="D88" s="27">
        <v>53388</v>
      </c>
      <c r="E88" s="28">
        <f>$D:$D/$B:$B*100</f>
        <v>16.53711744673944</v>
      </c>
      <c r="F88" s="28">
        <f>$D:$D/$C:$C*100</f>
        <v>99.49848202754156</v>
      </c>
      <c r="G88" s="66">
        <v>9036.6106</v>
      </c>
      <c r="H88" s="28">
        <f>$D:$D/$G:$G*100</f>
        <v>590.7967308008159</v>
      </c>
      <c r="I88" s="33">
        <f>D88-Февраль!D87</f>
        <v>8336.89</v>
      </c>
    </row>
    <row r="89" spans="1:9" ht="12.75">
      <c r="A89" s="7" t="s">
        <v>31</v>
      </c>
      <c r="B89" s="26">
        <v>527.7</v>
      </c>
      <c r="C89" s="26">
        <v>133.3</v>
      </c>
      <c r="D89" s="26">
        <v>133.3</v>
      </c>
      <c r="E89" s="25">
        <f>$D:$D/$B:$B*100</f>
        <v>25.260564714800076</v>
      </c>
      <c r="F89" s="25">
        <f>$D:$D/$C:$C*100</f>
        <v>100</v>
      </c>
      <c r="G89" s="66">
        <v>73.19835</v>
      </c>
      <c r="H89" s="25">
        <v>0</v>
      </c>
      <c r="I89" s="33">
        <f>D89-Февраль!D88</f>
        <v>48.370000000000005</v>
      </c>
    </row>
    <row r="90" spans="1:9" ht="25.5">
      <c r="A90" s="9" t="s">
        <v>32</v>
      </c>
      <c r="B90" s="26">
        <v>11358.1</v>
      </c>
      <c r="C90" s="26">
        <v>2720.9</v>
      </c>
      <c r="D90" s="33">
        <v>2624.6</v>
      </c>
      <c r="E90" s="25">
        <f>$D:$D/$B:$B*100</f>
        <v>23.107738089997447</v>
      </c>
      <c r="F90" s="25">
        <f>$D:$D/$C:$C*100</f>
        <v>96.46072990554595</v>
      </c>
      <c r="G90" s="66">
        <v>902.92782</v>
      </c>
      <c r="H90" s="25">
        <f>$D:$D/$G:$G*100</f>
        <v>290.6766124450568</v>
      </c>
      <c r="I90" s="33">
        <f>D90-Февраль!D89</f>
        <v>2032.29</v>
      </c>
    </row>
    <row r="91" spans="1:9" ht="12.75">
      <c r="A91" s="7" t="s">
        <v>33</v>
      </c>
      <c r="B91" s="33">
        <f>B92+B93+B94+B95</f>
        <v>596302.2999999999</v>
      </c>
      <c r="C91" s="33">
        <f>C92+C93+C94+C95</f>
        <v>34422.5</v>
      </c>
      <c r="D91" s="33">
        <f>D92+D93+D94+D95</f>
        <v>35112.100000000006</v>
      </c>
      <c r="E91" s="33">
        <f>E92+E93+E94+E95</f>
        <v>32.85806682216892</v>
      </c>
      <c r="F91" s="33">
        <f>F92+F93+F94+F95</f>
        <v>221.1553210418137</v>
      </c>
      <c r="G91" s="80">
        <f>G92+G93+G94+G95</f>
        <v>10592.23345</v>
      </c>
      <c r="H91" s="33">
        <f>H92+H93+H94+H95</f>
        <v>140.78815370907895</v>
      </c>
      <c r="I91" s="33">
        <f>D91-Февраль!D90</f>
        <v>21203.700000000004</v>
      </c>
    </row>
    <row r="92" spans="1:9" ht="12.75" customHeight="1">
      <c r="A92" s="10" t="s">
        <v>67</v>
      </c>
      <c r="B92" s="27">
        <v>13452.3</v>
      </c>
      <c r="C92" s="27">
        <v>0</v>
      </c>
      <c r="D92" s="27">
        <v>0</v>
      </c>
      <c r="E92" s="28">
        <v>0</v>
      </c>
      <c r="F92" s="28">
        <v>0</v>
      </c>
      <c r="G92" s="66">
        <v>0</v>
      </c>
      <c r="H92" s="28">
        <v>0</v>
      </c>
      <c r="I92" s="33">
        <f>D92-Февраль!D91</f>
        <v>0</v>
      </c>
    </row>
    <row r="93" spans="1:9" ht="12.75">
      <c r="A93" s="8" t="s">
        <v>34</v>
      </c>
      <c r="B93" s="27">
        <v>29381</v>
      </c>
      <c r="C93" s="27">
        <v>4686.1</v>
      </c>
      <c r="D93" s="27">
        <v>4686.1</v>
      </c>
      <c r="E93" s="28">
        <f>$D:$D/$B:$B*100</f>
        <v>15.949423096559002</v>
      </c>
      <c r="F93" s="28">
        <v>0</v>
      </c>
      <c r="G93" s="66">
        <v>4448.69449</v>
      </c>
      <c r="H93" s="28">
        <v>0</v>
      </c>
      <c r="I93" s="33">
        <f>D93-Февраль!D92</f>
        <v>2223.9200000000005</v>
      </c>
    </row>
    <row r="94" spans="1:9" ht="12.75">
      <c r="A94" s="10" t="s">
        <v>77</v>
      </c>
      <c r="B94" s="27">
        <v>520049.8</v>
      </c>
      <c r="C94" s="27">
        <v>26476.7</v>
      </c>
      <c r="D94" s="27">
        <v>26476.7</v>
      </c>
      <c r="E94" s="28">
        <f>$D:$D/$B:$B*100</f>
        <v>5.091185498004229</v>
      </c>
      <c r="F94" s="28">
        <f>$D:$D/$C:$C*100</f>
        <v>100</v>
      </c>
      <c r="G94" s="66">
        <v>3338.40238</v>
      </c>
      <c r="H94" s="28">
        <v>0</v>
      </c>
      <c r="I94" s="33">
        <f>D94-Февраль!D93</f>
        <v>16388.74</v>
      </c>
    </row>
    <row r="95" spans="1:9" ht="12.75">
      <c r="A95" s="8" t="s">
        <v>35</v>
      </c>
      <c r="B95" s="27">
        <v>33419.2</v>
      </c>
      <c r="C95" s="27">
        <v>3259.7</v>
      </c>
      <c r="D95" s="27">
        <v>3949.3</v>
      </c>
      <c r="E95" s="28">
        <f>$D:$D/$B:$B*100</f>
        <v>11.81745822760569</v>
      </c>
      <c r="F95" s="28">
        <f>$D:$D/$C:$C*100</f>
        <v>121.15532104181368</v>
      </c>
      <c r="G95" s="66">
        <v>2805.13658</v>
      </c>
      <c r="H95" s="28">
        <f>$D:$D/$G:$G*100</f>
        <v>140.78815370907895</v>
      </c>
      <c r="I95" s="33">
        <f>D95-Февраль!D94</f>
        <v>2591.04</v>
      </c>
    </row>
    <row r="96" spans="1:9" ht="12.75">
      <c r="A96" s="7" t="s">
        <v>36</v>
      </c>
      <c r="B96" s="33">
        <f>B98+B99+B100+B97</f>
        <v>415762.26999999996</v>
      </c>
      <c r="C96" s="26">
        <f>C98+C99+C100+C97</f>
        <v>14728</v>
      </c>
      <c r="D96" s="33">
        <f>D98+D99+D100+D97</f>
        <v>14232.2</v>
      </c>
      <c r="E96" s="33">
        <f>E99+E100+E97</f>
        <v>8.922692359729048</v>
      </c>
      <c r="F96" s="25">
        <f>$D:$D/$C:$C*100</f>
        <v>96.63362303096143</v>
      </c>
      <c r="G96" s="80">
        <f>G98+G99+G100+G97</f>
        <v>12428.22898</v>
      </c>
      <c r="H96" s="28">
        <f>$D:$D/$G:$G*100</f>
        <v>114.51510929596664</v>
      </c>
      <c r="I96" s="33">
        <f>D96-Февраль!D95</f>
        <v>5201.800000000001</v>
      </c>
    </row>
    <row r="97" spans="1:9" ht="12.75">
      <c r="A97" s="8" t="s">
        <v>37</v>
      </c>
      <c r="B97" s="27">
        <v>8253.1</v>
      </c>
      <c r="C97" s="27">
        <v>0</v>
      </c>
      <c r="D97" s="27">
        <v>0</v>
      </c>
      <c r="E97" s="43">
        <v>0</v>
      </c>
      <c r="F97" s="28">
        <v>0</v>
      </c>
      <c r="G97" s="66">
        <v>0</v>
      </c>
      <c r="H97" s="28">
        <v>0</v>
      </c>
      <c r="I97" s="33">
        <f>D97-Февраль!D96</f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66">
        <v>0</v>
      </c>
      <c r="H98" s="28">
        <v>0</v>
      </c>
      <c r="I98" s="33">
        <f>D98-Февраль!D97</f>
        <v>0</v>
      </c>
    </row>
    <row r="99" spans="1:9" ht="12.75">
      <c r="A99" s="8" t="s">
        <v>39</v>
      </c>
      <c r="B99" s="27">
        <v>296762</v>
      </c>
      <c r="C99" s="27">
        <v>7364.1</v>
      </c>
      <c r="D99" s="27">
        <v>7364.1</v>
      </c>
      <c r="E99" s="28">
        <f>$D:$D/$B:$B*100</f>
        <v>2.4814834783429145</v>
      </c>
      <c r="F99" s="28">
        <f>$D:$D/$C:$C*100</f>
        <v>100</v>
      </c>
      <c r="G99" s="66">
        <v>7430.18189</v>
      </c>
      <c r="H99" s="28">
        <v>0</v>
      </c>
      <c r="I99" s="33">
        <f>D99-Февраль!D98</f>
        <v>2407.1600000000008</v>
      </c>
    </row>
    <row r="100" spans="1:9" ht="12.75">
      <c r="A100" s="8" t="s">
        <v>40</v>
      </c>
      <c r="B100" s="27">
        <v>106627.5</v>
      </c>
      <c r="C100" s="27">
        <v>7363.9</v>
      </c>
      <c r="D100" s="27">
        <v>6868.1</v>
      </c>
      <c r="E100" s="28">
        <f>$D:$D/$B:$B*100</f>
        <v>6.441208881386134</v>
      </c>
      <c r="F100" s="28">
        <f>$D:$D/$C:$C*100</f>
        <v>93.26715463273538</v>
      </c>
      <c r="G100" s="66">
        <v>4998.04709</v>
      </c>
      <c r="H100" s="28">
        <f>$D:$D/$G:$G*100</f>
        <v>137.41567208803548</v>
      </c>
      <c r="I100" s="33">
        <f>D100-Февраль!D99</f>
        <v>2794.6400000000003</v>
      </c>
    </row>
    <row r="101" spans="1:9" ht="12.75">
      <c r="A101" s="11" t="s">
        <v>115</v>
      </c>
      <c r="B101" s="33">
        <f>B102+B103</f>
        <v>14079.4</v>
      </c>
      <c r="C101" s="33">
        <f>C102+C103</f>
        <v>595.9</v>
      </c>
      <c r="D101" s="33">
        <f>D102+D103</f>
        <v>595.9</v>
      </c>
      <c r="E101" s="25">
        <f>$D:$D/$B:$B*100</f>
        <v>4.232424677187948</v>
      </c>
      <c r="F101" s="25"/>
      <c r="G101" s="80">
        <f>G102</f>
        <v>127.74</v>
      </c>
      <c r="H101" s="25">
        <f>$D:$D/$G:$G*100</f>
        <v>466.4944418349773</v>
      </c>
      <c r="I101" s="33">
        <f>D101-Февраль!D100</f>
        <v>349.34</v>
      </c>
    </row>
    <row r="102" spans="1:9" ht="25.5">
      <c r="A102" s="39" t="s">
        <v>166</v>
      </c>
      <c r="B102" s="91">
        <v>2094</v>
      </c>
      <c r="C102" s="91">
        <v>595.9</v>
      </c>
      <c r="D102" s="91">
        <v>595.9</v>
      </c>
      <c r="E102" s="28">
        <f>$D:$D/$B:$B*100</f>
        <v>28.457497612225406</v>
      </c>
      <c r="F102" s="28"/>
      <c r="G102" s="66">
        <v>127.74</v>
      </c>
      <c r="H102" s="28">
        <v>0</v>
      </c>
      <c r="I102" s="33">
        <f>D102-Февраль!D101</f>
        <v>349.34</v>
      </c>
    </row>
    <row r="103" spans="1:9" ht="25.5">
      <c r="A103" s="39" t="s">
        <v>165</v>
      </c>
      <c r="B103" s="91">
        <v>11985.4</v>
      </c>
      <c r="C103" s="91">
        <v>0</v>
      </c>
      <c r="D103" s="91">
        <v>0</v>
      </c>
      <c r="E103" s="28">
        <f>$D:$D/$B:$B*100</f>
        <v>0</v>
      </c>
      <c r="F103" s="28"/>
      <c r="G103" s="85">
        <v>0</v>
      </c>
      <c r="H103" s="28">
        <v>0</v>
      </c>
      <c r="I103" s="33">
        <f>D103</f>
        <v>0</v>
      </c>
    </row>
    <row r="104" spans="1:9" ht="12.75">
      <c r="A104" s="11" t="s">
        <v>41</v>
      </c>
      <c r="B104" s="33">
        <f>B105+B106+B108+B109+B110+B107</f>
        <v>1856562.9200000002</v>
      </c>
      <c r="C104" s="33">
        <f>C105+C106+C108+C109+C110+C107</f>
        <v>372906.3</v>
      </c>
      <c r="D104" s="33">
        <f>D105+D106+D108+D109+D110+D107</f>
        <v>372875.3</v>
      </c>
      <c r="E104" s="33">
        <f>E105+E106+E109+E110+E108</f>
        <v>87.03237904908741</v>
      </c>
      <c r="F104" s="33">
        <f>F105+F106+F109+F110+F108</f>
        <v>499.923017132413</v>
      </c>
      <c r="G104" s="80">
        <f>G105+G106+G108+G109+G110+G107</f>
        <v>310226.97911</v>
      </c>
      <c r="H104" s="33">
        <f>H105+H106+H109+H110+H108</f>
        <v>436.27274765781294</v>
      </c>
      <c r="I104" s="33">
        <f>D104-Февраль!D102</f>
        <v>158474.50999999998</v>
      </c>
    </row>
    <row r="105" spans="1:9" ht="12.75">
      <c r="A105" s="8" t="s">
        <v>42</v>
      </c>
      <c r="B105" s="27">
        <v>717907.5</v>
      </c>
      <c r="C105" s="27">
        <v>149071.3</v>
      </c>
      <c r="D105" s="27">
        <v>149071.3</v>
      </c>
      <c r="E105" s="28">
        <f>$D:$D/$B:$B*100</f>
        <v>20.764694615949825</v>
      </c>
      <c r="F105" s="28">
        <f>$D:$D/$C:$C*100</f>
        <v>100</v>
      </c>
      <c r="G105" s="66">
        <v>123499.6752</v>
      </c>
      <c r="H105" s="28">
        <f>$D:$D/$G:$G*100</f>
        <v>120.70582352430348</v>
      </c>
      <c r="I105" s="33">
        <f>D105-Февраль!D103</f>
        <v>63416.26999999999</v>
      </c>
    </row>
    <row r="106" spans="1:9" ht="12.75">
      <c r="A106" s="8" t="s">
        <v>43</v>
      </c>
      <c r="B106" s="27">
        <v>747745.6</v>
      </c>
      <c r="C106" s="27">
        <v>151853.2</v>
      </c>
      <c r="D106" s="27">
        <v>151853.2</v>
      </c>
      <c r="E106" s="28">
        <f>$D:$D/$B:$B*100</f>
        <v>20.308136885058236</v>
      </c>
      <c r="F106" s="28">
        <f>$D:$D/$C:$C*100</f>
        <v>100</v>
      </c>
      <c r="G106" s="66">
        <v>121792.82254000001</v>
      </c>
      <c r="H106" s="28">
        <f>$D:$D/$G:$G*100</f>
        <v>124.68156729853877</v>
      </c>
      <c r="I106" s="33">
        <f>D106-Февраль!D104</f>
        <v>65203.73000000001</v>
      </c>
    </row>
    <row r="107" spans="1:9" ht="12.75">
      <c r="A107" s="90" t="s">
        <v>105</v>
      </c>
      <c r="B107" s="27">
        <v>145384.7</v>
      </c>
      <c r="C107" s="27">
        <v>28280.8</v>
      </c>
      <c r="D107" s="27">
        <v>28280.8</v>
      </c>
      <c r="E107" s="28">
        <f>$D:$D/$B:$B*100</f>
        <v>19.452390794904826</v>
      </c>
      <c r="F107" s="28">
        <f>$D:$D/$C:$C*100</f>
        <v>100</v>
      </c>
      <c r="G107" s="66">
        <v>25932.50765</v>
      </c>
      <c r="H107" s="28">
        <f>$D:$D/$G:$G*100</f>
        <v>109.05540020153046</v>
      </c>
      <c r="I107" s="33">
        <f>D107-Февраль!D105</f>
        <v>12416.48</v>
      </c>
    </row>
    <row r="108" spans="1:9" ht="25.5">
      <c r="A108" s="8" t="s">
        <v>123</v>
      </c>
      <c r="B108" s="27">
        <v>372.36</v>
      </c>
      <c r="C108" s="27">
        <v>49.7</v>
      </c>
      <c r="D108" s="27">
        <v>49.7</v>
      </c>
      <c r="E108" s="28">
        <f>$D:$D/$B:$B*100</f>
        <v>13.347298313460094</v>
      </c>
      <c r="F108" s="28">
        <f>$D:$D/$C:$C*100</f>
        <v>100</v>
      </c>
      <c r="G108" s="66">
        <v>76.24</v>
      </c>
      <c r="H108" s="28">
        <v>0</v>
      </c>
      <c r="I108" s="33">
        <f>D108-Февраль!D106</f>
        <v>21.500000000000004</v>
      </c>
    </row>
    <row r="109" spans="1:9" ht="12.75">
      <c r="A109" s="8" t="s">
        <v>44</v>
      </c>
      <c r="B109" s="27">
        <v>23378.76</v>
      </c>
      <c r="C109" s="27">
        <v>3382.6</v>
      </c>
      <c r="D109" s="27">
        <v>3382.6</v>
      </c>
      <c r="E109" s="28">
        <f>$D:$D/$B:$B*100</f>
        <v>14.468688672966405</v>
      </c>
      <c r="F109" s="28">
        <f>$D:$D/$C:$C*100</f>
        <v>100</v>
      </c>
      <c r="G109" s="66">
        <v>4589.89113</v>
      </c>
      <c r="H109" s="28">
        <f>$D:$D/$G:$G*100</f>
        <v>73.69673711628973</v>
      </c>
      <c r="I109" s="33">
        <f>D109-Февраль!D107</f>
        <v>1445.99</v>
      </c>
    </row>
    <row r="110" spans="1:9" ht="12.75">
      <c r="A110" s="8" t="s">
        <v>45</v>
      </c>
      <c r="B110" s="27">
        <v>221774</v>
      </c>
      <c r="C110" s="27">
        <v>40268.7</v>
      </c>
      <c r="D110" s="27">
        <v>40237.7</v>
      </c>
      <c r="E110" s="28">
        <f>$D:$D/$B:$B*100</f>
        <v>18.14356056165285</v>
      </c>
      <c r="F110" s="28">
        <f>$D:$D/$C:$C*100</f>
        <v>99.92301713241302</v>
      </c>
      <c r="G110" s="66">
        <v>34335.84259</v>
      </c>
      <c r="H110" s="28">
        <f>$D:$D/$G:$G*100</f>
        <v>117.18861971868097</v>
      </c>
      <c r="I110" s="33">
        <f>D110-Февраль!D108</f>
        <v>15970.539999999997</v>
      </c>
    </row>
    <row r="111" spans="1:9" ht="25.5">
      <c r="A111" s="11" t="s">
        <v>46</v>
      </c>
      <c r="B111" s="33">
        <f>B112+B113</f>
        <v>307737.44</v>
      </c>
      <c r="C111" s="33">
        <f>C112+C113</f>
        <v>51415.7</v>
      </c>
      <c r="D111" s="33">
        <f>D112+D113</f>
        <v>51405.899999999994</v>
      </c>
      <c r="E111" s="25">
        <f>$D:$D/$B:$B*100</f>
        <v>16.704467288738087</v>
      </c>
      <c r="F111" s="25">
        <f>$D:$D/$C:$C*100</f>
        <v>99.98093967406842</v>
      </c>
      <c r="G111" s="80">
        <f>G112+G113</f>
        <v>25614.88217</v>
      </c>
      <c r="H111" s="25">
        <f>$D:$D/$G:$G*100</f>
        <v>200.6876301785463</v>
      </c>
      <c r="I111" s="33">
        <f>D111-Февраль!D109</f>
        <v>32945.85999999999</v>
      </c>
    </row>
    <row r="112" spans="1:9" ht="12.75">
      <c r="A112" s="8" t="s">
        <v>47</v>
      </c>
      <c r="B112" s="27">
        <v>219701.1</v>
      </c>
      <c r="C112" s="27">
        <v>37688.6</v>
      </c>
      <c r="D112" s="27">
        <v>37688.6</v>
      </c>
      <c r="E112" s="28">
        <f>$D:$D/$B:$B*100</f>
        <v>17.15448853009839</v>
      </c>
      <c r="F112" s="28">
        <f>$D:$D/$C:$C*100</f>
        <v>100</v>
      </c>
      <c r="G112" s="66">
        <v>25140.84447</v>
      </c>
      <c r="H112" s="28">
        <f>$D:$D/$G:$G*100</f>
        <v>149.90984111521374</v>
      </c>
      <c r="I112" s="33">
        <f>D112-Февраль!D110</f>
        <v>19629.989999999998</v>
      </c>
    </row>
    <row r="113" spans="1:9" ht="25.5">
      <c r="A113" s="8" t="s">
        <v>48</v>
      </c>
      <c r="B113" s="27">
        <v>88036.34</v>
      </c>
      <c r="C113" s="27">
        <v>13727.1</v>
      </c>
      <c r="D113" s="27">
        <v>13717.3</v>
      </c>
      <c r="E113" s="28">
        <f>$D:$D/$B:$B*100</f>
        <v>15.581406496453623</v>
      </c>
      <c r="F113" s="28">
        <f>$D:$D/$C:$C*100</f>
        <v>99.92860837321793</v>
      </c>
      <c r="G113" s="66">
        <v>474.03770000000003</v>
      </c>
      <c r="H113" s="28">
        <v>0</v>
      </c>
      <c r="I113" s="33">
        <f>D113-Февраль!D111</f>
        <v>13315.869999999999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>$D:$D/$B:$B*100</f>
        <v>0</v>
      </c>
      <c r="F114" s="25">
        <v>0</v>
      </c>
      <c r="G114" s="33">
        <f>G115</f>
        <v>0</v>
      </c>
      <c r="H114" s="25">
        <v>0</v>
      </c>
      <c r="I114" s="33">
        <f>D114-Февраль!D112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>$D:$D/$B:$B*100</f>
        <v>0</v>
      </c>
      <c r="F115" s="28">
        <v>0</v>
      </c>
      <c r="G115" s="34">
        <v>0</v>
      </c>
      <c r="H115" s="28">
        <v>0</v>
      </c>
      <c r="I115" s="33">
        <f>D115-Февраль!D113</f>
        <v>0</v>
      </c>
    </row>
    <row r="116" spans="1:9" ht="12.75">
      <c r="A116" s="11" t="s">
        <v>49</v>
      </c>
      <c r="B116" s="33">
        <f>B117+B118+B119+B120</f>
        <v>161154.18</v>
      </c>
      <c r="C116" s="33">
        <f>C117+C118+C119+C120</f>
        <v>27056.9</v>
      </c>
      <c r="D116" s="33">
        <f>D117+D118+D119+D120</f>
        <v>26850.000000000004</v>
      </c>
      <c r="E116" s="33">
        <f>E117+E118+E119+E120</f>
        <v>56.30164777955693</v>
      </c>
      <c r="F116" s="33">
        <f>F117+F118+F119+F120</f>
        <v>188.82898425706276</v>
      </c>
      <c r="G116" s="80">
        <f>G117++G118+G119+G120</f>
        <v>16840.61793</v>
      </c>
      <c r="H116" s="25">
        <v>0</v>
      </c>
      <c r="I116" s="33">
        <f>D116-Февраль!D114</f>
        <v>18322.600000000006</v>
      </c>
    </row>
    <row r="117" spans="1:9" ht="12.75">
      <c r="A117" s="8" t="s">
        <v>50</v>
      </c>
      <c r="B117" s="27">
        <v>3025.38</v>
      </c>
      <c r="C117" s="27">
        <v>377.3</v>
      </c>
      <c r="D117" s="27">
        <v>377.3</v>
      </c>
      <c r="E117" s="28">
        <f>$D:$D/$B:$B*100</f>
        <v>12.471160647588071</v>
      </c>
      <c r="F117" s="28">
        <v>0</v>
      </c>
      <c r="G117" s="66">
        <v>426.51244</v>
      </c>
      <c r="H117" s="28">
        <v>0</v>
      </c>
      <c r="I117" s="33">
        <f>D117-Февраль!D115</f>
        <v>188.66000000000003</v>
      </c>
    </row>
    <row r="118" spans="1:9" ht="12.75">
      <c r="A118" s="8" t="s">
        <v>52</v>
      </c>
      <c r="B118" s="27">
        <v>106148.5</v>
      </c>
      <c r="C118" s="27">
        <v>23285.9</v>
      </c>
      <c r="D118" s="27">
        <v>23285.9</v>
      </c>
      <c r="E118" s="28">
        <f>$D:$D/$B:$B*100</f>
        <v>21.937097556724776</v>
      </c>
      <c r="F118" s="28">
        <f>$D:$D/$C:$C*100</f>
        <v>100</v>
      </c>
      <c r="G118" s="66">
        <v>15146.01516</v>
      </c>
      <c r="H118" s="28">
        <v>0</v>
      </c>
      <c r="I118" s="33">
        <f>D118-Февраль!D117</f>
        <v>15613.900000000001</v>
      </c>
    </row>
    <row r="119" spans="1:9" ht="12.75">
      <c r="A119" s="8" t="s">
        <v>53</v>
      </c>
      <c r="B119" s="27">
        <v>49450.5</v>
      </c>
      <c r="C119" s="27">
        <v>2930</v>
      </c>
      <c r="D119" s="27">
        <v>2774.9</v>
      </c>
      <c r="E119" s="28">
        <f>$D:$D/$B:$B*100</f>
        <v>5.6114700559145</v>
      </c>
      <c r="F119" s="28">
        <v>0</v>
      </c>
      <c r="G119" s="66">
        <v>809.455</v>
      </c>
      <c r="H119" s="28">
        <v>0</v>
      </c>
      <c r="I119" s="33">
        <f>D119-Февраль!D118</f>
        <v>2261.04</v>
      </c>
    </row>
    <row r="120" spans="1:9" ht="12.75">
      <c r="A120" s="8" t="s">
        <v>54</v>
      </c>
      <c r="B120" s="27">
        <v>2529.8</v>
      </c>
      <c r="C120" s="27">
        <v>463.7</v>
      </c>
      <c r="D120" s="27">
        <v>411.9</v>
      </c>
      <c r="E120" s="28">
        <f>$D:$D/$B:$B*100</f>
        <v>16.281919519329588</v>
      </c>
      <c r="F120" s="28">
        <f>$D:$D/$C:$C*100</f>
        <v>88.82898425706274</v>
      </c>
      <c r="G120" s="66">
        <v>458.63533</v>
      </c>
      <c r="H120" s="28">
        <f>$D:$D/$G:$G*100</f>
        <v>89.80991499281139</v>
      </c>
      <c r="I120" s="33">
        <f>D120-Февраль!D119</f>
        <v>259</v>
      </c>
    </row>
    <row r="121" spans="1:9" ht="12.75">
      <c r="A121" s="11" t="s">
        <v>61</v>
      </c>
      <c r="B121" s="26">
        <f>B122+B123+B124</f>
        <v>351596.1</v>
      </c>
      <c r="C121" s="26">
        <f>C122+C123+C124</f>
        <v>44728.9</v>
      </c>
      <c r="D121" s="26">
        <f>D122+D123+D124</f>
        <v>44725.8</v>
      </c>
      <c r="E121" s="25">
        <f>$D:$D/$B:$B*100</f>
        <v>12.72078956507197</v>
      </c>
      <c r="F121" s="25">
        <f>$D:$D/$C:$C*100</f>
        <v>99.99306935784247</v>
      </c>
      <c r="G121" s="77">
        <f>G122+G123+G124</f>
        <v>16917.542739999997</v>
      </c>
      <c r="H121" s="25">
        <f>$D:$D/$G:$G*100</f>
        <v>264.3752741599399</v>
      </c>
      <c r="I121" s="33">
        <f>D121-Февраль!D120</f>
        <v>26125.160000000003</v>
      </c>
    </row>
    <row r="122" spans="1:9" ht="12.75">
      <c r="A122" s="92" t="s">
        <v>63</v>
      </c>
      <c r="B122" s="27">
        <v>290769.3</v>
      </c>
      <c r="C122" s="27">
        <v>31917.7</v>
      </c>
      <c r="D122" s="27">
        <v>31917.7</v>
      </c>
      <c r="E122" s="28">
        <f>$D:$D/$B:$B*100</f>
        <v>10.976984158919116</v>
      </c>
      <c r="F122" s="28">
        <f>$D:$D/$C:$C*100</f>
        <v>100</v>
      </c>
      <c r="G122" s="66">
        <v>15542.313289999998</v>
      </c>
      <c r="H122" s="28">
        <v>0</v>
      </c>
      <c r="I122" s="33">
        <f>D122-Февраль!D121</f>
        <v>21134.13</v>
      </c>
    </row>
    <row r="123" spans="1:9" ht="24.75" customHeight="1">
      <c r="A123" s="92" t="s">
        <v>154</v>
      </c>
      <c r="B123" s="27">
        <v>55775.1</v>
      </c>
      <c r="C123" s="27">
        <v>11607.8</v>
      </c>
      <c r="D123" s="27">
        <v>11607.8</v>
      </c>
      <c r="E123" s="28">
        <v>0</v>
      </c>
      <c r="F123" s="28">
        <v>0</v>
      </c>
      <c r="G123" s="66">
        <v>602.98484</v>
      </c>
      <c r="H123" s="28">
        <v>0</v>
      </c>
      <c r="I123" s="33">
        <f>D123-Февраль!D122</f>
        <v>4449.239999999999</v>
      </c>
    </row>
    <row r="124" spans="1:9" ht="25.5">
      <c r="A124" s="12" t="s">
        <v>73</v>
      </c>
      <c r="B124" s="27">
        <v>5051.7</v>
      </c>
      <c r="C124" s="27">
        <v>1203.4</v>
      </c>
      <c r="D124" s="27">
        <v>1200.3</v>
      </c>
      <c r="E124" s="28">
        <f>$D:$D/$B:$B*100</f>
        <v>23.760318308688163</v>
      </c>
      <c r="F124" s="28">
        <f>$D:$D/$C:$C*100</f>
        <v>99.7423965431278</v>
      </c>
      <c r="G124" s="66">
        <v>772.24461</v>
      </c>
      <c r="H124" s="28">
        <v>0</v>
      </c>
      <c r="I124" s="33">
        <f>D124-Февраль!D123</f>
        <v>541.79</v>
      </c>
    </row>
    <row r="125" spans="1:9" ht="26.25" customHeight="1">
      <c r="A125" s="13" t="s">
        <v>80</v>
      </c>
      <c r="B125" s="26">
        <f>B126</f>
        <v>100</v>
      </c>
      <c r="C125" s="26">
        <f>C126</f>
        <v>5.75</v>
      </c>
      <c r="D125" s="26">
        <f>D126</f>
        <v>5.75</v>
      </c>
      <c r="E125" s="28">
        <f>$D:$D/$B:$B*100</f>
        <v>5.75</v>
      </c>
      <c r="F125" s="28">
        <v>0</v>
      </c>
      <c r="G125" s="66">
        <v>2.01384</v>
      </c>
      <c r="H125" s="28">
        <v>0</v>
      </c>
      <c r="I125" s="33">
        <f>D125-Февраль!D124</f>
        <v>0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110">
        <f>2013.84/1000</f>
        <v>2.01384</v>
      </c>
      <c r="H126" s="28">
        <v>0</v>
      </c>
      <c r="I126" s="33">
        <f>D126-Февраль!D125</f>
        <v>0</v>
      </c>
    </row>
    <row r="127" spans="1:9" ht="15.75" customHeight="1">
      <c r="A127" s="14" t="s">
        <v>55</v>
      </c>
      <c r="B127" s="33">
        <f>B80+B89+B90+B91+B96+B104+B111+B114+B116+B121+B125+B101</f>
        <v>4158425.1000000006</v>
      </c>
      <c r="C127" s="33">
        <f>C80+C89+C90+C91+C96+C104+C111+C114+C116+C121+C125+C101</f>
        <v>626268.75</v>
      </c>
      <c r="D127" s="33">
        <f>D80+D89+D90+D91+D96+D104+D111+D114+D116+D121+D125+D101</f>
        <v>625444.65</v>
      </c>
      <c r="E127" s="25">
        <f>$D:$D/$B:$B*100</f>
        <v>15.04042119214796</v>
      </c>
      <c r="F127" s="25">
        <f>$D:$D/$C:$C*100</f>
        <v>99.8684111254154</v>
      </c>
      <c r="G127" s="33">
        <v>421362.94799</v>
      </c>
      <c r="H127" s="25">
        <f>$D:$D/$G:$G*100</f>
        <v>148.4337085127009</v>
      </c>
      <c r="I127" s="33">
        <f>D127-Февраль!D126</f>
        <v>285661.38</v>
      </c>
    </row>
    <row r="128" spans="1:9" ht="26.25" customHeight="1">
      <c r="A128" s="79" t="s">
        <v>56</v>
      </c>
      <c r="B128" s="80">
        <f>B74-B127</f>
        <v>-171004.7400000007</v>
      </c>
      <c r="C128" s="80">
        <f>C74-C127</f>
        <v>286388.05000000005</v>
      </c>
      <c r="D128" s="80">
        <f>D74-D127</f>
        <v>152262.05000000005</v>
      </c>
      <c r="E128" s="80"/>
      <c r="F128" s="80"/>
      <c r="G128" s="80">
        <v>49069.46248999995</v>
      </c>
      <c r="H128" s="80"/>
      <c r="I128" s="33">
        <f>D128-Февраль!D127</f>
        <v>124435.67000000004</v>
      </c>
    </row>
    <row r="129" spans="1:9" ht="24" customHeight="1">
      <c r="A129" s="1" t="s">
        <v>57</v>
      </c>
      <c r="B129" s="27" t="s">
        <v>159</v>
      </c>
      <c r="C129" s="27"/>
      <c r="D129" s="27" t="s">
        <v>168</v>
      </c>
      <c r="E129" s="27"/>
      <c r="F129" s="27"/>
      <c r="G129" s="27" t="s">
        <v>169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2" ref="C130:H130">C132+C133</f>
        <v>0</v>
      </c>
      <c r="D130" s="77">
        <f t="shared" si="2"/>
        <v>217485.5</v>
      </c>
      <c r="E130" s="77">
        <f t="shared" si="2"/>
        <v>0</v>
      </c>
      <c r="F130" s="77">
        <f t="shared" si="2"/>
        <v>0</v>
      </c>
      <c r="G130" s="26">
        <v>83341.6</v>
      </c>
      <c r="H130" s="77">
        <f t="shared" si="2"/>
        <v>0</v>
      </c>
      <c r="I130" s="33">
        <f>D130-Февраль!D129</f>
        <v>125435.6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27"/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144761.1</v>
      </c>
      <c r="E132" s="27"/>
      <c r="F132" s="27"/>
      <c r="G132" s="27">
        <v>3594.5</v>
      </c>
      <c r="H132" s="35"/>
      <c r="I132" s="33">
        <f>D132-Февраль!D131</f>
        <v>98954.3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217485.5-144761.1</f>
        <v>72724.4</v>
      </c>
      <c r="E133" s="27"/>
      <c r="F133" s="27"/>
      <c r="G133" s="27">
        <v>79747.1</v>
      </c>
      <c r="H133" s="35"/>
      <c r="I133" s="33">
        <f>D133-Февраль!D132</f>
        <v>26481.300000000003</v>
      </c>
    </row>
    <row r="134" spans="1:9" ht="12.75">
      <c r="A134" s="3" t="s">
        <v>99</v>
      </c>
      <c r="B134" s="26">
        <f>B135-B136</f>
        <v>22950</v>
      </c>
      <c r="C134" s="26">
        <f aca="true" t="shared" si="3" ref="C134:H134">C135-C136</f>
        <v>-35000</v>
      </c>
      <c r="D134" s="26">
        <f t="shared" si="3"/>
        <v>-35000</v>
      </c>
      <c r="E134" s="26">
        <f t="shared" si="3"/>
        <v>0</v>
      </c>
      <c r="F134" s="26">
        <f t="shared" si="3"/>
        <v>0</v>
      </c>
      <c r="G134" s="26">
        <f>G135-G136</f>
        <v>-12050</v>
      </c>
      <c r="H134" s="26">
        <f t="shared" si="3"/>
        <v>0</v>
      </c>
      <c r="I134" s="33">
        <f>D134-Февраль!D133</f>
        <v>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27">
        <v>0</v>
      </c>
      <c r="H135" s="37"/>
      <c r="I135" s="33">
        <f>D135-Февраль!D134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27">
        <v>12050</v>
      </c>
      <c r="H136" s="37"/>
      <c r="I136" s="33">
        <f>D136-Февраль!D135</f>
        <v>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96" t="s">
        <v>102</v>
      </c>
      <c r="B1" s="96"/>
      <c r="C1" s="96"/>
      <c r="D1" s="96"/>
      <c r="E1" s="96"/>
      <c r="F1" s="96"/>
      <c r="G1" s="96"/>
      <c r="H1" s="96"/>
      <c r="I1" s="29"/>
    </row>
    <row r="2" spans="1:9" ht="15">
      <c r="A2" s="97" t="s">
        <v>141</v>
      </c>
      <c r="B2" s="97"/>
      <c r="C2" s="97"/>
      <c r="D2" s="97"/>
      <c r="E2" s="97"/>
      <c r="F2" s="97"/>
      <c r="G2" s="97"/>
      <c r="H2" s="97"/>
      <c r="I2" s="30"/>
    </row>
    <row r="3" spans="1:9" ht="5.25" customHeight="1" hidden="1">
      <c r="A3" s="98" t="s">
        <v>0</v>
      </c>
      <c r="B3" s="98"/>
      <c r="C3" s="98"/>
      <c r="D3" s="98"/>
      <c r="E3" s="98"/>
      <c r="F3" s="98"/>
      <c r="G3" s="98"/>
      <c r="H3" s="98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07" t="s">
        <v>3</v>
      </c>
      <c r="B6" s="108"/>
      <c r="C6" s="108"/>
      <c r="D6" s="108"/>
      <c r="E6" s="108"/>
      <c r="F6" s="108"/>
      <c r="G6" s="108"/>
      <c r="H6" s="108"/>
      <c r="I6" s="109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2023-04-10T07:16:15Z</cp:lastPrinted>
  <dcterms:created xsi:type="dcterms:W3CDTF">2010-09-10T01:16:58Z</dcterms:created>
  <dcterms:modified xsi:type="dcterms:W3CDTF">2023-04-11T03:17:54Z</dcterms:modified>
  <cp:category/>
  <cp:version/>
  <cp:contentType/>
  <cp:contentStatus/>
</cp:coreProperties>
</file>