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4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май1" sheetId="6" state="hidden" r:id="rId6"/>
  </sheets>
  <externalReferences>
    <externalReference r:id="rId9"/>
  </externalReferences>
  <definedNames>
    <definedName name="_xlnm.Print_Titles" localSheetId="3">'Апрель'!$4:$5</definedName>
    <definedName name="_xlnm.Print_Titles" localSheetId="4">'май'!$4:$5</definedName>
    <definedName name="_xlnm.Print_Titles" localSheetId="5">'май1'!$4:$5</definedName>
    <definedName name="_xlnm.Print_Titles" localSheetId="2">'март'!$4:$5</definedName>
    <definedName name="_xlnm.Print_Titles" localSheetId="1">'Февраль'!$4:$5</definedName>
    <definedName name="_xlnm.Print_Titles" localSheetId="0">'Январь'!$4:$5</definedName>
  </definedNames>
  <calcPr fullCalcOnLoad="1"/>
</workbook>
</file>

<file path=xl/sharedStrings.xml><?xml version="1.0" encoding="utf-8"?>
<sst xmlns="http://schemas.openxmlformats.org/spreadsheetml/2006/main" count="947" uniqueCount="176">
  <si>
    <t>Тыс. руб.</t>
  </si>
  <si>
    <t xml:space="preserve">      Наименование показателей</t>
  </si>
  <si>
    <t>План на год</t>
  </si>
  <si>
    <t>ДОХОДЫ</t>
  </si>
  <si>
    <t>НАЛОГИ НА ПРИБЫЛЬ, ДОХОДЫ</t>
  </si>
  <si>
    <t>Налог на прибыль, зачисляемый в бюджеты субъектов РФ</t>
  </si>
  <si>
    <t>В том числе:</t>
  </si>
  <si>
    <t>НАЛОГИ НА СОВОКУПНЫЙ ДОХОД</t>
  </si>
  <si>
    <t>НАЛОГИ НА ИМУЩЕСТВО</t>
  </si>
  <si>
    <t>ГОСУДАРСТВЕННАЯ ПОШЛИНА</t>
  </si>
  <si>
    <t>- госпошлина по делам, рассматриваемым в судах общей юрисдикции, мировыми судьями</t>
  </si>
  <si>
    <t>ЗАДОЛЖЕННОСТЬ И ПЕРЕРАСЧЕТЫ ПО ОТМЕНЕННЫМ НАЛОГАМ И СБОРАМ:</t>
  </si>
  <si>
    <t>ДОХОДЫ ОТ ИСПОЛЬЗОВАНИЯ ИМУЩЕСТВА, НАХОДЯЩЕГОСЯ В ГОСУД. И МУНИЦИП. СОБСТВЕННОСТИ: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</si>
  <si>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</si>
  <si>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</si>
  <si>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</si>
  <si>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</si>
  <si>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ВСЕГО ДОХОДОВ</t>
  </si>
  <si>
    <t>БЕЗВОЗМЕЗДНЫЕ ПОСТУПЛЕНИЯ</t>
  </si>
  <si>
    <t>БЕЗВОЗМЕЗДНЫЕ ПОСТУПЛЕНИЯ ОТ ДРУГИХ БЮДЖЕТОВ</t>
  </si>
  <si>
    <t>ВСЕГО ДОХОДЫ</t>
  </si>
  <si>
    <t>ВОЗВРАТ ОСТАТКОВ СУБСИДИЙ И СУБВЕНЦИЙ ПРОШЛЫХ ЛЕТ</t>
  </si>
  <si>
    <t>РАСХОДЫ</t>
  </si>
  <si>
    <t>Общегосударственные вопросы</t>
  </si>
  <si>
    <t>Функционирование высшего должностного лица</t>
  </si>
  <si>
    <t>Функционирование законодательных органов власти</t>
  </si>
  <si>
    <t>Функционирование органов исполнительской власти и местных администраций</t>
  </si>
  <si>
    <t>Обеспечение деятельности финансовых, налоговых и таможенных органов и органов надзора</t>
  </si>
  <si>
    <t>Обеспечение проведения выборов и референдумов</t>
  </si>
  <si>
    <t xml:space="preserve"> Резервные фонды</t>
  </si>
  <si>
    <t>Другие 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</si>
  <si>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</si>
  <si>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</si>
  <si>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 xml:space="preserve">        Национальная экономика</t>
  </si>
  <si>
    <t>Транспорт</t>
  </si>
  <si>
    <t>Другие вопросы в области национальной экономики</t>
  </si>
  <si>
    <t>ЖКХ</t>
  </si>
  <si>
    <t>Жилищное хозяйство</t>
  </si>
  <si>
    <t>Коммунальное хозяйство</t>
  </si>
  <si>
    <t>Благоустройство</t>
  </si>
  <si>
    <t>Другие вопросы в области ЖКХ</t>
  </si>
  <si>
    <t>Образование</t>
  </si>
  <si>
    <t>Дошкольное образование</t>
  </si>
  <si>
    <t>Общее образование</t>
  </si>
  <si>
    <t>Молодежная политика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</si>
  <si>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</si>
  <si>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</si>
  <si>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</si>
  <si>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Другие вопросы в области культуры, кинематографии и средств массовой информации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</si>
  <si>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</si>
  <si>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</si>
  <si>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</si>
  <si>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</si>
  <si>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</si>
  <si>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</si>
  <si>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ИТОГО РАСХОДОВ</t>
  </si>
  <si>
    <t>Дефицит (-) или профицит  (+)</t>
  </si>
  <si>
    <t>СПРАВОЧНО:</t>
  </si>
  <si>
    <t>ОСТАТОК СРЕДСТВ НА СЧЕТАХ БЮДЖЕТА</t>
  </si>
  <si>
    <t>- остатки целевых средств</t>
  </si>
  <si>
    <t>- собственные средства</t>
  </si>
  <si>
    <t>Физическая культура спорт</t>
  </si>
  <si>
    <t xml:space="preserve">Физическая культура </t>
  </si>
  <si>
    <t>Массовый спорт</t>
  </si>
  <si>
    <t>Общеэкономические вопросы</t>
  </si>
  <si>
    <t>% роста</t>
  </si>
  <si>
    <t>% исполнения плана года</t>
  </si>
  <si>
    <t>Водное хозяйство</t>
  </si>
  <si>
    <t>Факт исполнения на отчет дату</t>
  </si>
  <si>
    <t>% исполнения текущего плана</t>
  </si>
  <si>
    <t>Налог на доходы физических лиц                                           в том числе:</t>
  </si>
  <si>
    <t>изменения за тек месяц</t>
  </si>
  <si>
    <t>Судебная система</t>
  </si>
  <si>
    <t>Другие вопросы в области физической культуры и спорта</t>
  </si>
  <si>
    <t xml:space="preserve"> -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ст. 227, 227.1 и 228 НК РФ</t>
  </si>
  <si>
    <t xml:space="preserve"> - полученных от осуществления деятельности физ лицами, зарегистрированными в качестве индивидульных предпринимателей, нотариусов, занимающихся чатной практикой, адокатов, учредивших адвокатские кабинеты и других лиц, занимающихся частной практикой в соответствии со ст. 227.1 НК РФ</t>
  </si>
  <si>
    <t xml:space="preserve"> - с доходов, полученных физ. лицами в соответствии со ст. 228 НК РФ</t>
  </si>
  <si>
    <t>Дорожное хозяйство (дорожные фонды)</t>
  </si>
  <si>
    <t xml:space="preserve"> - в виде фиксированных авансовых платежей с доходов,  полученных физ лицами, являющимися иностранными гражданами, осуществляющими трудовую деятельность по найму у физ лиц на основании патента в соответствии со ст. 227.1 НК РФ </t>
  </si>
  <si>
    <t xml:space="preserve"> 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</si>
  <si>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</si>
  <si>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</si>
  <si>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НАЛОГИ НА ТОВАРЫ (РАБОТЫ, УСЛУГИ), РЕАЛИЗУЕМЫЕ НА ТЕРРИТОРИИ РОССИЙСКОЙ ФЕДЕРАЦИИ</t>
  </si>
  <si>
    <t xml:space="preserve"> 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</si>
  <si>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</si>
  <si>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</si>
  <si>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</si>
  <si>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 xml:space="preserve"> - единый сельскохозяйственный налог</t>
  </si>
  <si>
    <t xml:space="preserve"> - налог, взимаемый в связи  с  применением патентной системы налогообложения
</t>
  </si>
  <si>
    <t xml:space="preserve"> - единый налог на вмененный доход</t>
  </si>
  <si>
    <t xml:space="preserve"> - госпошлина за выдачу разрешения на установку рекламной конструкции</t>
  </si>
  <si>
    <t>- госпошлина за выдачу специального разрешения на движение по автомобильным дорогам</t>
  </si>
  <si>
    <t xml:space="preserve"> - прочие  налоги и сборы (по отмененным местным налогам и сборам) (1 09 07000)</t>
  </si>
  <si>
    <t xml:space="preserve">  - доходы от продажи земельных участков</t>
  </si>
  <si>
    <t xml:space="preserve"> - доходы от продажи квартир</t>
  </si>
  <si>
    <t xml:space="preserve"> - 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</si>
  <si>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ОТ ОКАЗАНИЯ ПЛАТНЫХ И КОМПЕНСАЦИИ ЗАТРАТ ГОСУДАРСТВА</t>
  </si>
  <si>
    <t>Здравоохранение</t>
  </si>
  <si>
    <t>Другие вопросы в области здравоохранения</t>
  </si>
  <si>
    <t>КРЕДИТЫ</t>
  </si>
  <si>
    <t>Полученные кредиты</t>
  </si>
  <si>
    <t>Погашенные кредиты</t>
  </si>
  <si>
    <t>Исполнение бюджета города Минусинска</t>
  </si>
  <si>
    <t xml:space="preserve">Руководитель финансового управления администрации города Минусинска </t>
  </si>
  <si>
    <t>НАЛОГОВЫЕ И НЕНАЛОГОВЫЕ ДОХОДЫ</t>
  </si>
  <si>
    <t>Дополнительное образование детей</t>
  </si>
  <si>
    <t>- налог на имущество физ. лиц</t>
  </si>
  <si>
    <t>- земельный налог</t>
  </si>
  <si>
    <t>- дотации</t>
  </si>
  <si>
    <t>- субсидии</t>
  </si>
  <si>
    <t>- субвенции</t>
  </si>
  <si>
    <t xml:space="preserve"> - </t>
  </si>
  <si>
    <t xml:space="preserve"> -</t>
  </si>
  <si>
    <t>Прочие безвозмездные поступления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</si>
  <si>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</si>
  <si>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Охрана окружающей среды</t>
  </si>
  <si>
    <t xml:space="preserve"> - земельный налог по  возникшим до 1 января 2006 г.                   (1 09 04050)</t>
  </si>
  <si>
    <t xml:space="preserve"> -доходы,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 от продажи права на заключение договоров аренды указанных земельных участков (1 11 0501)</t>
  </si>
  <si>
    <t xml:space="preserve"> -доходы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 (1 11 0503)</t>
  </si>
  <si>
    <t xml:space="preserve"> -доходы от сдачи в аренду имущества, составляющего казну городских округов (за исключением земельных участков) (1 11 0507)</t>
  </si>
  <si>
    <t xml:space="preserve"> - доходы от перечисления части прибыли государственных и муниципальных унитарных предприятий, остающейся после уплаты налогов и обязательных платежей (1 11 0700)</t>
  </si>
  <si>
    <t xml:space="preserve">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(1 11 0900)</t>
  </si>
  <si>
    <t xml:space="preserve">   иные межбюджетные трансферты</t>
  </si>
  <si>
    <t>Профессиональная подготовка, переподготовка и повышение квалификации</t>
  </si>
  <si>
    <t>На 01.01.2020</t>
  </si>
  <si>
    <t xml:space="preserve"> -доходы,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(1 11 0502)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</si>
  <si>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</si>
  <si>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</si>
  <si>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</si>
  <si>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</si>
  <si>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</si>
  <si>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</si>
  <si>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</si>
  <si>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</si>
  <si>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</si>
  <si>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Платежи, уплачиваемые в целях возмещения вреда</t>
  </si>
  <si>
    <t>Факт за аналогичный период 2019 г.</t>
  </si>
  <si>
    <t>Е.В. Гейль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</si>
  <si>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 (1 11 0530)</t>
  </si>
  <si>
    <t xml:space="preserve">И.о.руководителя финансового управления администрации города Минусинска </t>
  </si>
  <si>
    <t>Е.В.Гейль</t>
  </si>
  <si>
    <t>на 01 июня 2020 года</t>
  </si>
  <si>
    <t>План за 5 мес 2020 г.</t>
  </si>
  <si>
    <t>Охрана объектов растительного и животного мира и среды их обитания</t>
  </si>
  <si>
    <t>На 01.06.2020</t>
  </si>
  <si>
    <t xml:space="preserve"> - в части суммы налога, превышающей 650 000 рублей, относящейся к части налоговой базы, превышающей 5 000 000 рублей</t>
  </si>
  <si>
    <t xml:space="preserve"> - налог, взимаемый в связи с применением упрощенной системы налогообложения</t>
  </si>
  <si>
    <t xml:space="preserve"> -плата по соглашениям об установлении сервитута в отношении земельных государственная собственность на которые не разграничена (1 11 0530)</t>
  </si>
  <si>
    <t>-</t>
  </si>
  <si>
    <t>на 01 февраля 2023 года</t>
  </si>
  <si>
    <t>ЗАДОЛЖЕННОСТЬ И ПЕРЕРАСЧЕТЫ ПО ОТМЕНЕННЫМ НАЛОГАМ, СБОРАМ И ИНЫМ ОБЯЗАТЕЛЬНЫМ ПЛАТЕЖАМ</t>
  </si>
  <si>
    <t>План за 2 мес 2023 г.</t>
  </si>
  <si>
    <t>План за 1 мес 2023 г.</t>
  </si>
  <si>
    <t>на 01 марта 2023 года</t>
  </si>
  <si>
    <t>Спорт высших достижений</t>
  </si>
  <si>
    <r>
      <t xml:space="preserve">Охрана объектов растительного и животного мира и среды их обитания </t>
    </r>
    <r>
      <rPr>
        <b/>
        <sz val="10"/>
        <rFont val="Times New Roman"/>
        <family val="1"/>
      </rPr>
      <t>и Другие вопросы в области охраны окружающей среды</t>
    </r>
  </si>
  <si>
    <t>Факт за аналогичный период 2022 г.</t>
  </si>
  <si>
    <t>На 01.02.2023</t>
  </si>
  <si>
    <t>На 01.03.2023</t>
  </si>
  <si>
    <t>На 01.01.2023</t>
  </si>
  <si>
    <t>На 01.03.2022</t>
  </si>
  <si>
    <t>На 01.02.2022</t>
  </si>
  <si>
    <t>Охрана объектов растительного и животного мира и среды их обитания и Другие вопросы в области охраны окружающей среды</t>
  </si>
  <si>
    <t>на 01 апреля 2023 года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</si>
  <si>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</si>
  <si>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Другие вопросы в области охраны окружающей среды</t>
  </si>
  <si>
    <t xml:space="preserve">Охрана объектов растительного и животного мира и среды их обитания </t>
  </si>
  <si>
    <t>На 01.04.2023</t>
  </si>
  <si>
    <t>На 01.04.2022</t>
  </si>
  <si>
    <t>План за 4 мес 2023 г.</t>
  </si>
  <si>
    <t>на 01 мая 2023 года</t>
  </si>
  <si>
    <t>На 01.05.2023</t>
  </si>
  <si>
    <t>На 01.05.2022</t>
  </si>
  <si>
    <t>на 01 июня 2023 года</t>
  </si>
  <si>
    <t>План за 5 мес 2023 г.</t>
  </si>
  <si>
    <t>На 01.06.2023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</si>
</sst>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000000"/>
    <numFmt numFmtId="181" formatCode="#,##0.000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_(* #,##0.00_);_(* \(#,##0.00\);_(* &quot;-&quot;??_);_(@_)"/>
    <numFmt numFmtId="185" formatCode="_(* #,##0_);_(* \(#,##0\);_(* &quot;-&quot;_);_(@_)"/>
  </numFmts>
  <fonts count="4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2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9" fontId="2" fillId="0" borderId="0" xfId="0" applyNumberFormat="1" applyFont="1" applyFill="1" applyAlignment="1">
      <alignment/>
    </xf>
    <xf numFmtId="179" fontId="1" fillId="0" borderId="0" xfId="0" applyNumberFormat="1" applyFont="1" applyFill="1" applyAlignment="1" applyProtection="1">
      <alignment/>
      <protection locked="0"/>
    </xf>
    <xf numFmtId="179" fontId="2" fillId="0" borderId="0" xfId="0" applyNumberFormat="1" applyFont="1" applyFill="1" applyAlignment="1" applyProtection="1">
      <alignment/>
      <protection locked="0"/>
    </xf>
    <xf numFmtId="178" fontId="3" fillId="0" borderId="10" xfId="0" applyNumberFormat="1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8" fontId="2" fillId="0" borderId="10" xfId="0" applyNumberFormat="1" applyFont="1" applyFill="1" applyBorder="1" applyAlignment="1" applyProtection="1">
      <alignment horizontal="center" vertical="top" wrapText="1"/>
      <protection/>
    </xf>
    <xf numFmtId="179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 applyProtection="1">
      <alignment horizontal="center"/>
      <protection locked="0"/>
    </xf>
    <xf numFmtId="179" fontId="2" fillId="0" borderId="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top" wrapText="1"/>
    </xf>
    <xf numFmtId="178" fontId="3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0" applyNumberFormat="1" applyFont="1" applyFill="1" applyBorder="1" applyAlignment="1" applyProtection="1">
      <alignment vertical="top" wrapText="1"/>
      <protection locked="0"/>
    </xf>
    <xf numFmtId="179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 applyProtection="1">
      <alignment vertical="top" wrapText="1"/>
      <protection locked="0"/>
    </xf>
    <xf numFmtId="179" fontId="2" fillId="0" borderId="10" xfId="0" applyNumberFormat="1" applyFont="1" applyFill="1" applyBorder="1" applyAlignment="1">
      <alignment horizontal="center"/>
    </xf>
    <xf numFmtId="178" fontId="3" fillId="0" borderId="15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 applyProtection="1">
      <alignment horizontal="center" vertical="top" wrapText="1"/>
      <protection/>
    </xf>
    <xf numFmtId="179" fontId="3" fillId="0" borderId="10" xfId="0" applyNumberFormat="1" applyFont="1" applyFill="1" applyBorder="1" applyAlignment="1">
      <alignment horizontal="left" vertical="top" wrapText="1"/>
    </xf>
    <xf numFmtId="179" fontId="3" fillId="0" borderId="10" xfId="0" applyNumberFormat="1" applyFont="1" applyFill="1" applyBorder="1" applyAlignment="1">
      <alignment horizontal="justify" vertical="top" wrapText="1"/>
    </xf>
    <xf numFmtId="179" fontId="3" fillId="0" borderId="15" xfId="0" applyNumberFormat="1" applyFont="1" applyFill="1" applyBorder="1" applyAlignment="1">
      <alignment vertical="top" wrapText="1"/>
    </xf>
    <xf numFmtId="179" fontId="3" fillId="0" borderId="16" xfId="0" applyNumberFormat="1" applyFont="1" applyFill="1" applyBorder="1" applyAlignment="1">
      <alignment vertical="top" wrapText="1"/>
    </xf>
    <xf numFmtId="179" fontId="3" fillId="0" borderId="15" xfId="0" applyNumberFormat="1" applyFont="1" applyFill="1" applyBorder="1" applyAlignment="1" applyProtection="1">
      <alignment horizontal="center" vertical="top" wrapText="1"/>
      <protection/>
    </xf>
    <xf numFmtId="179" fontId="2" fillId="0" borderId="10" xfId="0" applyNumberFormat="1" applyFont="1" applyFill="1" applyBorder="1" applyAlignment="1">
      <alignment vertical="top" wrapText="1"/>
    </xf>
    <xf numFmtId="179" fontId="2" fillId="0" borderId="10" xfId="0" applyNumberFormat="1" applyFont="1" applyFill="1" applyBorder="1" applyAlignment="1" applyProtection="1">
      <alignment horizontal="left" vertical="justify" wrapText="1"/>
      <protection locked="0"/>
    </xf>
    <xf numFmtId="179" fontId="3" fillId="0" borderId="10" xfId="0" applyNumberFormat="1" applyFont="1" applyFill="1" applyBorder="1" applyAlignment="1" applyProtection="1">
      <alignment vertical="justify" wrapText="1"/>
      <protection locked="0"/>
    </xf>
    <xf numFmtId="179" fontId="3" fillId="0" borderId="10" xfId="0" applyNumberFormat="1" applyFont="1" applyFill="1" applyBorder="1" applyAlignment="1">
      <alignment vertical="top" wrapText="1"/>
    </xf>
    <xf numFmtId="179" fontId="2" fillId="0" borderId="15" xfId="0" applyNumberFormat="1" applyFont="1" applyFill="1" applyBorder="1" applyAlignment="1">
      <alignment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 locked="0"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0" xfId="0" applyNumberFormat="1" applyFont="1" applyFill="1" applyBorder="1" applyAlignment="1">
      <alignment horizontal="center" vertical="top" wrapText="1"/>
    </xf>
    <xf numFmtId="2" fontId="3" fillId="0" borderId="15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  <protection locked="0"/>
    </xf>
    <xf numFmtId="0" fontId="3" fillId="0" borderId="12" xfId="0" applyFont="1" applyFill="1" applyBorder="1" applyAlignment="1">
      <alignment horizontal="justify" vertical="top" wrapText="1"/>
    </xf>
    <xf numFmtId="178" fontId="3" fillId="0" borderId="17" xfId="0" applyNumberFormat="1" applyFont="1" applyFill="1" applyBorder="1" applyAlignment="1">
      <alignment horizontal="center" vertical="top" wrapText="1"/>
    </xf>
    <xf numFmtId="178" fontId="3" fillId="0" borderId="17" xfId="0" applyNumberFormat="1" applyFont="1" applyFill="1" applyBorder="1" applyAlignment="1" applyProtection="1">
      <alignment horizontal="center" vertical="top" wrapText="1"/>
      <protection/>
    </xf>
    <xf numFmtId="178" fontId="3" fillId="0" borderId="18" xfId="0" applyNumberFormat="1" applyFont="1" applyFill="1" applyBorder="1" applyAlignment="1">
      <alignment horizontal="center" vertical="top" wrapText="1"/>
    </xf>
    <xf numFmtId="178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 applyProtection="1">
      <alignment horizontal="left" wrapText="1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7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178" fontId="3" fillId="0" borderId="10" xfId="0" applyNumberFormat="1" applyFont="1" applyFill="1" applyBorder="1" applyAlignment="1" applyProtection="1">
      <alignment horizontal="center" wrapText="1"/>
      <protection/>
    </xf>
    <xf numFmtId="178" fontId="2" fillId="0" borderId="10" xfId="0" applyNumberFormat="1" applyFont="1" applyFill="1" applyBorder="1" applyAlignment="1">
      <alignment horizontal="center" wrapText="1"/>
    </xf>
    <xf numFmtId="4" fontId="10" fillId="0" borderId="19" xfId="53" applyNumberFormat="1" applyFont="1" applyBorder="1" applyAlignment="1" applyProtection="1">
      <alignment horizontal="right" vertical="center" wrapText="1"/>
      <protection/>
    </xf>
    <xf numFmtId="49" fontId="10" fillId="0" borderId="19" xfId="54" applyNumberFormat="1" applyFont="1" applyBorder="1" applyAlignment="1" applyProtection="1">
      <alignment horizontal="lef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49" fontId="10" fillId="0" borderId="19" xfId="55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>
      <alignment horizontal="center" vertical="top" wrapText="1"/>
    </xf>
    <xf numFmtId="179" fontId="2" fillId="0" borderId="0" xfId="0" applyNumberFormat="1" applyFont="1" applyFill="1" applyAlignment="1" applyProtection="1">
      <alignment horizontal="center" vertical="top"/>
      <protection locked="0"/>
    </xf>
    <xf numFmtId="179" fontId="2" fillId="0" borderId="0" xfId="0" applyNumberFormat="1" applyFont="1" applyFill="1" applyAlignment="1">
      <alignment horizontal="center" vertical="top"/>
    </xf>
    <xf numFmtId="179" fontId="2" fillId="0" borderId="0" xfId="0" applyNumberFormat="1" applyFont="1" applyFill="1" applyAlignment="1">
      <alignment horizontal="center"/>
    </xf>
    <xf numFmtId="179" fontId="2" fillId="0" borderId="0" xfId="0" applyNumberFormat="1" applyFont="1" applyFill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/>
    </xf>
    <xf numFmtId="178" fontId="2" fillId="0" borderId="10" xfId="53" applyNumberFormat="1" applyFont="1" applyFill="1" applyBorder="1" applyAlignment="1" applyProtection="1">
      <alignment horizontal="center" vertical="center" wrapText="1"/>
      <protection/>
    </xf>
    <xf numFmtId="49" fontId="2" fillId="0" borderId="10" xfId="54" applyNumberFormat="1" applyFont="1" applyFill="1" applyBorder="1" applyAlignment="1" applyProtection="1">
      <alignment horizontal="left" vertical="center" wrapText="1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5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19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2" fillId="0" borderId="20" xfId="0" applyFont="1" applyFill="1" applyBorder="1" applyAlignment="1">
      <alignment horizontal="right"/>
    </xf>
    <xf numFmtId="179" fontId="3" fillId="0" borderId="21" xfId="0" applyNumberFormat="1" applyFont="1" applyFill="1" applyBorder="1" applyAlignment="1">
      <alignment horizontal="center" vertical="top" wrapText="1"/>
    </xf>
    <xf numFmtId="179" fontId="3" fillId="0" borderId="0" xfId="0" applyNumberFormat="1" applyFont="1" applyFill="1" applyBorder="1" applyAlignment="1">
      <alignment horizontal="center" vertical="top" wrapText="1"/>
    </xf>
    <xf numFmtId="179" fontId="2" fillId="0" borderId="22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 locked="0"/>
    </xf>
    <xf numFmtId="179" fontId="3" fillId="0" borderId="10" xfId="0" applyNumberFormat="1" applyFont="1" applyFill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евраль" xfId="53"/>
    <cellStyle name="Обычный_Февраль_1" xfId="54"/>
    <cellStyle name="Обычный_Январь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5\bux\2022%20&#1075;&#1086;&#1076;\&#1057;&#1072;&#1081;&#1090;\&#1043;&#1054;&#1058;&#1054;&#1042;&#1054;\&#1056;&#1072;&#1089;&#1093;&#1086;&#1076;&#1099;%20&#1085;&#1072;%2001.05.2022\&#1076;&#1086;&#1093;&#1086;&#1076;&#1099;-&#1088;&#1072;&#1089;&#1093;&#1086;&#1076;&#1099;%20&#1085;&#1072;%2001.05.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1"/>
    </sheetNames>
    <sheetDataSet>
      <sheetData sheetId="3">
        <row r="7">
          <cell r="D7">
            <v>221241.6</v>
          </cell>
        </row>
        <row r="8">
          <cell r="D8">
            <v>126230.90000000002</v>
          </cell>
        </row>
        <row r="9">
          <cell r="D9">
            <v>2223.1</v>
          </cell>
        </row>
        <row r="10">
          <cell r="D10">
            <v>124007.80000000002</v>
          </cell>
        </row>
        <row r="11">
          <cell r="D11">
            <v>73871.1</v>
          </cell>
        </row>
        <row r="12">
          <cell r="D12">
            <v>867.9</v>
          </cell>
        </row>
        <row r="13">
          <cell r="D13">
            <v>1510.6</v>
          </cell>
        </row>
        <row r="14">
          <cell r="D14">
            <v>1181.1</v>
          </cell>
        </row>
        <row r="15">
          <cell r="D15">
            <v>46577.1</v>
          </cell>
        </row>
        <row r="16">
          <cell r="D16">
            <v>17999.9</v>
          </cell>
        </row>
        <row r="17">
          <cell r="D17">
            <v>8785.5</v>
          </cell>
        </row>
        <row r="18">
          <cell r="D18">
            <v>60.3</v>
          </cell>
        </row>
        <row r="19">
          <cell r="D19">
            <v>10425.9</v>
          </cell>
        </row>
        <row r="20">
          <cell r="D20">
            <v>-1271.9</v>
          </cell>
        </row>
        <row r="21">
          <cell r="D21">
            <v>46749.100000000006</v>
          </cell>
        </row>
        <row r="22">
          <cell r="D22">
            <v>35948.5</v>
          </cell>
        </row>
        <row r="23">
          <cell r="D23">
            <v>57.4</v>
          </cell>
        </row>
        <row r="24">
          <cell r="D24">
            <v>536.8</v>
          </cell>
        </row>
        <row r="25">
          <cell r="D25">
            <v>10206.4</v>
          </cell>
        </row>
        <row r="26">
          <cell r="D26">
            <v>6167.3</v>
          </cell>
        </row>
        <row r="27">
          <cell r="D27">
            <v>2496.5</v>
          </cell>
        </row>
        <row r="28">
          <cell r="D28">
            <v>3670.8</v>
          </cell>
        </row>
        <row r="29">
          <cell r="D29">
            <v>5111.099999999999</v>
          </cell>
        </row>
        <row r="30">
          <cell r="D30">
            <v>5061.9</v>
          </cell>
        </row>
        <row r="31">
          <cell r="D31">
            <v>19.2</v>
          </cell>
        </row>
        <row r="32">
          <cell r="D32">
            <v>30</v>
          </cell>
        </row>
        <row r="33">
          <cell r="D33">
            <v>0.02</v>
          </cell>
        </row>
        <row r="34">
          <cell r="D34">
            <v>0.02</v>
          </cell>
        </row>
        <row r="35">
          <cell r="D35">
            <v>0</v>
          </cell>
        </row>
        <row r="36">
          <cell r="D36">
            <v>16357.699999999997</v>
          </cell>
        </row>
        <row r="38">
          <cell r="D38">
            <v>9989.9</v>
          </cell>
        </row>
        <row r="39">
          <cell r="D39">
            <v>926.9</v>
          </cell>
        </row>
        <row r="40">
          <cell r="D40">
            <v>70.9</v>
          </cell>
        </row>
        <row r="41">
          <cell r="D41">
            <v>4400.2</v>
          </cell>
        </row>
        <row r="42">
          <cell r="D42">
            <v>0</v>
          </cell>
        </row>
        <row r="43">
          <cell r="D43">
            <v>105.5</v>
          </cell>
        </row>
        <row r="44">
          <cell r="D44">
            <v>864.3</v>
          </cell>
        </row>
        <row r="45">
          <cell r="D45">
            <v>382.5</v>
          </cell>
        </row>
        <row r="46">
          <cell r="D46">
            <v>432.6</v>
          </cell>
        </row>
        <row r="47">
          <cell r="D47">
            <v>696.6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696.6</v>
          </cell>
        </row>
        <row r="51">
          <cell r="D51">
            <v>1113.9</v>
          </cell>
        </row>
        <row r="62">
          <cell r="D62">
            <v>0</v>
          </cell>
        </row>
        <row r="63">
          <cell r="D63">
            <v>221241.60000000003</v>
          </cell>
        </row>
        <row r="64">
          <cell r="D64">
            <v>528832.2999999999</v>
          </cell>
        </row>
        <row r="65">
          <cell r="D65">
            <v>547205.2</v>
          </cell>
        </row>
        <row r="66">
          <cell r="D66">
            <v>136055.8</v>
          </cell>
        </row>
        <row r="67">
          <cell r="D67">
            <v>101936.4</v>
          </cell>
        </row>
        <row r="68">
          <cell r="D68">
            <v>297190</v>
          </cell>
        </row>
        <row r="69">
          <cell r="D69">
            <v>12023</v>
          </cell>
        </row>
        <row r="70">
          <cell r="D70">
            <v>0</v>
          </cell>
        </row>
        <row r="71">
          <cell r="D71">
            <v>-18372.9</v>
          </cell>
        </row>
        <row r="72">
          <cell r="D72">
            <v>750073.8999999999</v>
          </cell>
        </row>
        <row r="78">
          <cell r="D78">
            <v>41910.9</v>
          </cell>
        </row>
        <row r="79">
          <cell r="D79">
            <v>684</v>
          </cell>
        </row>
        <row r="80">
          <cell r="D80">
            <v>2007.4</v>
          </cell>
        </row>
        <row r="81">
          <cell r="D81">
            <v>18836.4</v>
          </cell>
        </row>
        <row r="82">
          <cell r="D82">
            <v>170</v>
          </cell>
        </row>
        <row r="83">
          <cell r="D83">
            <v>4585.8</v>
          </cell>
        </row>
        <row r="84">
          <cell r="D84">
            <v>0</v>
          </cell>
        </row>
        <row r="85">
          <cell r="D85">
            <v>0</v>
          </cell>
        </row>
        <row r="86">
          <cell r="D86">
            <v>15627.3</v>
          </cell>
        </row>
        <row r="87">
          <cell r="D87">
            <v>126.4</v>
          </cell>
        </row>
        <row r="88">
          <cell r="D88">
            <v>1569.3</v>
          </cell>
        </row>
        <row r="89">
          <cell r="D89">
            <v>20692.800000000003</v>
          </cell>
        </row>
        <row r="92">
          <cell r="D92">
            <v>6872.5</v>
          </cell>
        </row>
        <row r="93">
          <cell r="D93">
            <v>9994.4</v>
          </cell>
        </row>
        <row r="94">
          <cell r="D94">
            <v>3825.9</v>
          </cell>
        </row>
        <row r="95">
          <cell r="D95">
            <v>18527.8</v>
          </cell>
        </row>
        <row r="96">
          <cell r="D96">
            <v>0</v>
          </cell>
        </row>
        <row r="97">
          <cell r="D97">
            <v>63.2</v>
          </cell>
        </row>
        <row r="98">
          <cell r="D98">
            <v>10115.8</v>
          </cell>
        </row>
        <row r="99">
          <cell r="D99">
            <v>8348.8</v>
          </cell>
        </row>
        <row r="100">
          <cell r="D100">
            <v>308.1</v>
          </cell>
        </row>
        <row r="101">
          <cell r="D101">
            <v>308.1</v>
          </cell>
        </row>
        <row r="102">
          <cell r="D102">
            <v>446811.4</v>
          </cell>
        </row>
        <row r="103">
          <cell r="D103">
            <v>176107.5</v>
          </cell>
        </row>
        <row r="104">
          <cell r="D104">
            <v>173333.1</v>
          </cell>
        </row>
        <row r="105">
          <cell r="D105">
            <v>40195.7</v>
          </cell>
        </row>
        <row r="106">
          <cell r="D106">
            <v>131.7</v>
          </cell>
        </row>
        <row r="107">
          <cell r="D107">
            <v>8065</v>
          </cell>
        </row>
        <row r="108">
          <cell r="D108">
            <v>48978.4</v>
          </cell>
        </row>
        <row r="109">
          <cell r="D109">
            <v>42754.899999999994</v>
          </cell>
        </row>
        <row r="110">
          <cell r="D110">
            <v>41930.2</v>
          </cell>
        </row>
        <row r="111">
          <cell r="D111">
            <v>824.7</v>
          </cell>
        </row>
        <row r="112">
          <cell r="D112">
            <v>0</v>
          </cell>
        </row>
        <row r="113">
          <cell r="D113">
            <v>0</v>
          </cell>
        </row>
        <row r="114">
          <cell r="D114">
            <v>29512</v>
          </cell>
        </row>
        <row r="115">
          <cell r="D115">
            <v>647.2</v>
          </cell>
        </row>
        <row r="116">
          <cell r="D116">
            <v>0</v>
          </cell>
        </row>
        <row r="117">
          <cell r="D117">
            <v>25168.8</v>
          </cell>
        </row>
        <row r="118">
          <cell r="D118">
            <v>3103.5</v>
          </cell>
        </row>
        <row r="119">
          <cell r="D119">
            <v>592.5</v>
          </cell>
        </row>
        <row r="120">
          <cell r="D120">
            <v>85432.3</v>
          </cell>
        </row>
        <row r="121">
          <cell r="D121">
            <v>23255.2</v>
          </cell>
        </row>
        <row r="122">
          <cell r="D122">
            <v>60808.9</v>
          </cell>
        </row>
        <row r="123">
          <cell r="D123">
            <v>1368.2</v>
          </cell>
        </row>
        <row r="124">
          <cell r="D124">
            <v>2.01384</v>
          </cell>
        </row>
        <row r="125">
          <cell r="D125">
            <v>2.01384</v>
          </cell>
        </row>
        <row r="126">
          <cell r="D126">
            <v>687647.9138400002</v>
          </cell>
        </row>
        <row r="127">
          <cell r="D127">
            <v>62425.98615999974</v>
          </cell>
        </row>
        <row r="129">
          <cell r="D129">
            <v>93247.5</v>
          </cell>
        </row>
        <row r="131">
          <cell r="D131">
            <v>60071.5</v>
          </cell>
        </row>
        <row r="132">
          <cell r="D132">
            <v>33176</v>
          </cell>
        </row>
        <row r="133">
          <cell r="D133">
            <v>-12050</v>
          </cell>
        </row>
        <row r="134">
          <cell r="D134" t="str">
            <v>-</v>
          </cell>
        </row>
        <row r="135">
          <cell r="D135">
            <v>12050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2"/>
  <sheetViews>
    <sheetView zoomScalePageLayoutView="0" workbookViewId="0" topLeftCell="A1">
      <pane xSplit="1" ySplit="6" topLeftCell="B1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05" t="s">
        <v>102</v>
      </c>
      <c r="B1" s="105"/>
      <c r="C1" s="105"/>
      <c r="D1" s="105"/>
      <c r="E1" s="105"/>
      <c r="F1" s="105"/>
      <c r="G1" s="105"/>
      <c r="H1" s="105"/>
      <c r="I1" s="29"/>
    </row>
    <row r="2" spans="1:9" ht="15">
      <c r="A2" s="106" t="s">
        <v>149</v>
      </c>
      <c r="B2" s="106"/>
      <c r="C2" s="106"/>
      <c r="D2" s="106"/>
      <c r="E2" s="106"/>
      <c r="F2" s="106"/>
      <c r="G2" s="106"/>
      <c r="H2" s="106"/>
      <c r="I2" s="30"/>
    </row>
    <row r="3" spans="1:9" ht="5.25" customHeight="1" hidden="1">
      <c r="A3" s="107" t="s">
        <v>0</v>
      </c>
      <c r="B3" s="107"/>
      <c r="C3" s="107"/>
      <c r="D3" s="107"/>
      <c r="E3" s="107"/>
      <c r="F3" s="107"/>
      <c r="G3" s="107"/>
      <c r="H3" s="107"/>
      <c r="I3" s="31"/>
    </row>
    <row r="4" spans="1:9" ht="45" customHeight="1">
      <c r="A4" s="4" t="s">
        <v>1</v>
      </c>
      <c r="B4" s="17" t="s">
        <v>2</v>
      </c>
      <c r="C4" s="17" t="s">
        <v>152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08" t="s">
        <v>3</v>
      </c>
      <c r="B6" s="109"/>
      <c r="C6" s="109"/>
      <c r="D6" s="109"/>
      <c r="E6" s="109"/>
      <c r="F6" s="109"/>
      <c r="G6" s="109"/>
      <c r="H6" s="109"/>
      <c r="I6" s="110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20087.34</v>
      </c>
      <c r="D7" s="33">
        <f>D8+D16+D21+D26+D29+D37+D46+D47+D48+D52+D63+D36</f>
        <v>25873.099999999995</v>
      </c>
      <c r="E7" s="25">
        <f>D7/B7*100</f>
        <v>3.603331915291986</v>
      </c>
      <c r="F7" s="25">
        <v>27699.089999999997</v>
      </c>
      <c r="G7" s="33">
        <f>G8+G16+G21+G26+G29</f>
        <v>30541.34192</v>
      </c>
      <c r="H7" s="25">
        <f>C7/G7*100</f>
        <v>65.77098037347797</v>
      </c>
      <c r="I7" s="33">
        <f>D7</f>
        <v>25873.099999999995</v>
      </c>
    </row>
    <row r="8" spans="1:9" ht="12.75">
      <c r="A8" s="47" t="s">
        <v>4</v>
      </c>
      <c r="B8" s="25">
        <f>B9+B10</f>
        <v>365325.60000000003</v>
      </c>
      <c r="C8" s="25">
        <f>C9+C10</f>
        <v>7415</v>
      </c>
      <c r="D8" s="25">
        <f>D9+D10</f>
        <v>18698.32</v>
      </c>
      <c r="E8" s="25">
        <f aca="true" t="shared" si="0" ref="E8:E72">D8/B8*100</f>
        <v>5.118261627435908</v>
      </c>
      <c r="F8" s="25">
        <v>10645.39</v>
      </c>
      <c r="G8" s="25">
        <f>G9+G10</f>
        <v>16918.55102</v>
      </c>
      <c r="H8" s="25">
        <f aca="true" t="shared" si="1" ref="H8:H72">C8/G8*100</f>
        <v>43.827630340414345</v>
      </c>
      <c r="I8" s="33">
        <f aca="true" t="shared" si="2" ref="I8:I72">D8</f>
        <v>18698.32</v>
      </c>
    </row>
    <row r="9" spans="1:9" ht="25.5">
      <c r="A9" s="48" t="s">
        <v>5</v>
      </c>
      <c r="B9" s="27">
        <v>8631</v>
      </c>
      <c r="C9" s="27">
        <v>250</v>
      </c>
      <c r="D9" s="27">
        <v>540.24</v>
      </c>
      <c r="E9" s="27">
        <f t="shared" si="0"/>
        <v>6.259297879735836</v>
      </c>
      <c r="F9" s="25">
        <v>200.86</v>
      </c>
      <c r="G9" s="27">
        <f>506536.75/1000</f>
        <v>506.53675</v>
      </c>
      <c r="H9" s="25">
        <f t="shared" si="1"/>
        <v>49.35476053810508</v>
      </c>
      <c r="I9" s="27">
        <f t="shared" si="2"/>
        <v>540.24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7165</v>
      </c>
      <c r="D10" s="42">
        <f>SUM(D11:D15)</f>
        <v>18158.079999999998</v>
      </c>
      <c r="E10" s="25">
        <f t="shared" si="0"/>
        <v>5.090651778860682</v>
      </c>
      <c r="F10" s="25">
        <v>10444.529999999999</v>
      </c>
      <c r="G10" s="42">
        <f>SUM(G11:G15)</f>
        <v>16412.01427</v>
      </c>
      <c r="H10" s="25">
        <f t="shared" si="1"/>
        <v>43.65704222605456</v>
      </c>
      <c r="I10" s="33">
        <f t="shared" si="2"/>
        <v>18158.079999999998</v>
      </c>
    </row>
    <row r="11" spans="1:9" ht="51">
      <c r="A11" s="51" t="s">
        <v>74</v>
      </c>
      <c r="B11" s="27">
        <v>336860.2</v>
      </c>
      <c r="C11" s="27">
        <v>5000</v>
      </c>
      <c r="D11" s="27">
        <v>18380.36</v>
      </c>
      <c r="E11" s="27">
        <f t="shared" si="0"/>
        <v>5.456376265287499</v>
      </c>
      <c r="F11" s="27">
        <v>10058</v>
      </c>
      <c r="G11" s="27">
        <f>10829327.5/1000</f>
        <v>10829.3275</v>
      </c>
      <c r="H11" s="25">
        <f t="shared" si="1"/>
        <v>46.17091873895217</v>
      </c>
      <c r="I11" s="27">
        <f t="shared" si="2"/>
        <v>18380.36</v>
      </c>
    </row>
    <row r="12" spans="1:9" ht="51" customHeight="1">
      <c r="A12" s="51" t="s">
        <v>75</v>
      </c>
      <c r="B12" s="27">
        <v>1745</v>
      </c>
      <c r="C12" s="27">
        <v>35</v>
      </c>
      <c r="D12" s="27">
        <v>-205.49</v>
      </c>
      <c r="E12" s="27">
        <f t="shared" si="0"/>
        <v>-11.775931232091692</v>
      </c>
      <c r="F12" s="27">
        <v>81.56</v>
      </c>
      <c r="G12" s="27">
        <f>71132.83/1000</f>
        <v>71.13283</v>
      </c>
      <c r="H12" s="25">
        <f t="shared" si="1"/>
        <v>49.20372210693712</v>
      </c>
      <c r="I12" s="27">
        <f t="shared" si="2"/>
        <v>-205.49</v>
      </c>
    </row>
    <row r="13" spans="1:9" ht="25.5">
      <c r="A13" s="51" t="s">
        <v>76</v>
      </c>
      <c r="B13" s="27">
        <v>5600.4</v>
      </c>
      <c r="C13" s="27">
        <v>30</v>
      </c>
      <c r="D13" s="27">
        <v>-254.97</v>
      </c>
      <c r="E13" s="27">
        <f t="shared" si="0"/>
        <v>-4.552710520677095</v>
      </c>
      <c r="F13" s="27">
        <v>117.15</v>
      </c>
      <c r="G13" s="27">
        <f>62006.21/1000</f>
        <v>62.006209999999996</v>
      </c>
      <c r="H13" s="25">
        <f t="shared" si="1"/>
        <v>48.38225074553017</v>
      </c>
      <c r="I13" s="27">
        <f t="shared" si="2"/>
        <v>-254.97</v>
      </c>
    </row>
    <row r="14" spans="1:9" ht="63.75">
      <c r="A14" s="51" t="s">
        <v>78</v>
      </c>
      <c r="B14" s="27">
        <v>3850</v>
      </c>
      <c r="C14" s="27">
        <v>100</v>
      </c>
      <c r="D14" s="27">
        <v>180.03</v>
      </c>
      <c r="E14" s="27">
        <f t="shared" si="0"/>
        <v>4.676103896103896</v>
      </c>
      <c r="F14" s="27">
        <v>187.82</v>
      </c>
      <c r="G14" s="27">
        <f>203387.85/1000</f>
        <v>203.38785000000001</v>
      </c>
      <c r="H14" s="25">
        <f t="shared" si="1"/>
        <v>49.167145431745304</v>
      </c>
      <c r="I14" s="27">
        <f t="shared" si="2"/>
        <v>180.03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-0.35+58.5</f>
        <v>58.15</v>
      </c>
      <c r="E15" s="27">
        <f t="shared" si="0"/>
        <v>0.6731103136937145</v>
      </c>
      <c r="F15" s="27"/>
      <c r="G15" s="27">
        <f>5246159.88/1000</f>
        <v>5246.15988</v>
      </c>
      <c r="H15" s="25">
        <f t="shared" si="1"/>
        <v>38.123123308243514</v>
      </c>
      <c r="I15" s="27">
        <f t="shared" si="2"/>
        <v>58.15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3350</v>
      </c>
      <c r="D16" s="26">
        <f>SUM(D17:D20)</f>
        <v>2539.2900000000004</v>
      </c>
      <c r="E16" s="25">
        <f t="shared" si="0"/>
        <v>4.2973653846218935</v>
      </c>
      <c r="F16" s="25">
        <v>1853.18</v>
      </c>
      <c r="G16" s="26">
        <f>SUM(G17:G20)</f>
        <v>5206.58843</v>
      </c>
      <c r="H16" s="25">
        <f t="shared" si="1"/>
        <v>64.34155580067619</v>
      </c>
      <c r="I16" s="33">
        <f t="shared" si="2"/>
        <v>2539.2900000000004</v>
      </c>
    </row>
    <row r="17" spans="1:9" ht="37.5" customHeight="1">
      <c r="A17" s="37" t="s">
        <v>83</v>
      </c>
      <c r="B17" s="27">
        <v>27987.73</v>
      </c>
      <c r="C17" s="27">
        <v>1500</v>
      </c>
      <c r="D17" s="27">
        <v>1103.7</v>
      </c>
      <c r="E17" s="27">
        <f t="shared" si="0"/>
        <v>3.943513818376839</v>
      </c>
      <c r="F17" s="27">
        <v>844.23</v>
      </c>
      <c r="G17" s="27">
        <f>2392168.44/1000</f>
        <v>2392.16844</v>
      </c>
      <c r="H17" s="25">
        <f t="shared" si="1"/>
        <v>62.7046145630113</v>
      </c>
      <c r="I17" s="27">
        <f t="shared" si="2"/>
        <v>1103.7</v>
      </c>
    </row>
    <row r="18" spans="1:9" ht="56.25" customHeight="1">
      <c r="A18" s="37" t="s">
        <v>84</v>
      </c>
      <c r="B18" s="27">
        <v>194.4</v>
      </c>
      <c r="C18" s="27">
        <v>10</v>
      </c>
      <c r="D18" s="27">
        <v>2.38</v>
      </c>
      <c r="E18" s="27">
        <f t="shared" si="0"/>
        <v>1.2242798353909463</v>
      </c>
      <c r="F18" s="27">
        <v>5.74</v>
      </c>
      <c r="G18" s="27">
        <f>14077.8/1000</f>
        <v>14.0778</v>
      </c>
      <c r="H18" s="25">
        <f t="shared" si="1"/>
        <v>71.03382630808791</v>
      </c>
      <c r="I18" s="27">
        <f t="shared" si="2"/>
        <v>2.38</v>
      </c>
    </row>
    <row r="19" spans="1:9" ht="55.5" customHeight="1">
      <c r="A19" s="37" t="s">
        <v>85</v>
      </c>
      <c r="B19" s="27">
        <v>34598.53</v>
      </c>
      <c r="C19" s="27">
        <v>2000</v>
      </c>
      <c r="D19" s="27">
        <v>1564.35</v>
      </c>
      <c r="E19" s="27">
        <f t="shared" si="0"/>
        <v>4.521434870209803</v>
      </c>
      <c r="F19" s="27">
        <v>1158.41</v>
      </c>
      <c r="G19" s="27">
        <f>2959715.18/1000</f>
        <v>2959.71518</v>
      </c>
      <c r="H19" s="25">
        <f t="shared" si="1"/>
        <v>67.57406974545435</v>
      </c>
      <c r="I19" s="27">
        <f t="shared" si="2"/>
        <v>1564.35</v>
      </c>
    </row>
    <row r="20" spans="1:9" ht="15.75" customHeight="1">
      <c r="A20" s="37" t="s">
        <v>86</v>
      </c>
      <c r="B20" s="27">
        <v>-3691.2</v>
      </c>
      <c r="C20" s="27">
        <v>-160</v>
      </c>
      <c r="D20" s="27">
        <v>-131.14</v>
      </c>
      <c r="E20" s="27">
        <f t="shared" si="0"/>
        <v>3.552774165583008</v>
      </c>
      <c r="F20" s="27">
        <v>-155.2</v>
      </c>
      <c r="G20" s="27">
        <f>-159372.99/1000</f>
        <v>-159.37299</v>
      </c>
      <c r="H20" s="25">
        <f t="shared" si="1"/>
        <v>100.393423000974</v>
      </c>
      <c r="I20" s="27">
        <f t="shared" si="2"/>
        <v>-131.14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3000</v>
      </c>
      <c r="D21" s="26">
        <f>SUM(D22:D25)</f>
        <v>2950.54</v>
      </c>
      <c r="E21" s="25">
        <f t="shared" si="0"/>
        <v>1.9807426492652787</v>
      </c>
      <c r="F21" s="25">
        <v>7362.96</v>
      </c>
      <c r="G21" s="26">
        <f>SUM(G22:G25)</f>
        <v>5984.851520000002</v>
      </c>
      <c r="H21" s="25">
        <f t="shared" si="1"/>
        <v>50.12655685733702</v>
      </c>
      <c r="I21" s="33">
        <f t="shared" si="2"/>
        <v>2950.54</v>
      </c>
    </row>
    <row r="22" spans="1:9" ht="28.5" customHeight="1">
      <c r="A22" s="51" t="s">
        <v>146</v>
      </c>
      <c r="B22" s="27">
        <v>116885.1</v>
      </c>
      <c r="C22" s="27">
        <v>2500</v>
      </c>
      <c r="D22" s="27">
        <v>2278.01</v>
      </c>
      <c r="E22" s="27">
        <f t="shared" si="0"/>
        <v>1.9489310442477272</v>
      </c>
      <c r="F22" s="27"/>
      <c r="G22" s="27">
        <f>4635050.98/1000</f>
        <v>4635.050980000001</v>
      </c>
      <c r="H22" s="25">
        <f t="shared" si="1"/>
        <v>53.93683933116091</v>
      </c>
      <c r="I22" s="27">
        <f t="shared" si="2"/>
        <v>2278.01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-792.63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27">
        <f t="shared" si="2"/>
        <v>-792.63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0</v>
      </c>
      <c r="E24" s="27">
        <f t="shared" si="0"/>
        <v>0</v>
      </c>
      <c r="F24" s="27">
        <v>113.58</v>
      </c>
      <c r="G24" s="27">
        <f>127520/1000</f>
        <v>127.52</v>
      </c>
      <c r="H24" s="25">
        <f t="shared" si="1"/>
        <v>0</v>
      </c>
      <c r="I24" s="27">
        <f t="shared" si="2"/>
        <v>0</v>
      </c>
    </row>
    <row r="25" spans="1:9" ht="27" customHeight="1">
      <c r="A25" s="51" t="s">
        <v>88</v>
      </c>
      <c r="B25" s="27">
        <v>31361.2</v>
      </c>
      <c r="C25" s="27">
        <v>500</v>
      </c>
      <c r="D25" s="27">
        <v>1465.16</v>
      </c>
      <c r="E25" s="27">
        <f t="shared" si="0"/>
        <v>4.6718875553231385</v>
      </c>
      <c r="F25" s="27">
        <v>50.63</v>
      </c>
      <c r="G25" s="27">
        <f>1186413.61/1000</f>
        <v>1186.41361</v>
      </c>
      <c r="H25" s="25">
        <f t="shared" si="1"/>
        <v>42.14381862999701</v>
      </c>
      <c r="I25" s="27">
        <f t="shared" si="2"/>
        <v>1465.16</v>
      </c>
    </row>
    <row r="26" spans="1:9" ht="12.75">
      <c r="A26" s="54" t="s">
        <v>8</v>
      </c>
      <c r="B26" s="26">
        <f>SUM(B27:B28)</f>
        <v>42454.6</v>
      </c>
      <c r="C26" s="26">
        <f>SUM(C27:C28)</f>
        <v>650</v>
      </c>
      <c r="D26" s="26">
        <f>SUM(D27:D28)</f>
        <v>1430.4299999999998</v>
      </c>
      <c r="E26" s="25">
        <f t="shared" si="0"/>
        <v>3.3693168702566973</v>
      </c>
      <c r="F26" s="25">
        <v>2465.82</v>
      </c>
      <c r="G26" s="26">
        <f>SUM(G27:G28)</f>
        <v>1404.8256999999999</v>
      </c>
      <c r="H26" s="25">
        <f t="shared" si="1"/>
        <v>46.26908519683261</v>
      </c>
      <c r="I26" s="33">
        <f t="shared" si="2"/>
        <v>1430.4299999999998</v>
      </c>
    </row>
    <row r="27" spans="1:9" ht="12.75">
      <c r="A27" s="51" t="s">
        <v>106</v>
      </c>
      <c r="B27" s="27">
        <v>24668.5</v>
      </c>
      <c r="C27" s="27">
        <v>350</v>
      </c>
      <c r="D27" s="27">
        <v>1038.11</v>
      </c>
      <c r="E27" s="27">
        <f t="shared" si="0"/>
        <v>4.208241279364371</v>
      </c>
      <c r="F27" s="27">
        <v>536.1</v>
      </c>
      <c r="G27" s="27">
        <f>777295.01/1000</f>
        <v>777.29501</v>
      </c>
      <c r="H27" s="25">
        <f t="shared" si="1"/>
        <v>45.02794891221545</v>
      </c>
      <c r="I27" s="27">
        <f t="shared" si="2"/>
        <v>1038.11</v>
      </c>
    </row>
    <row r="28" spans="1:9" ht="12.75">
      <c r="A28" s="51" t="s">
        <v>107</v>
      </c>
      <c r="B28" s="27">
        <v>17786.1</v>
      </c>
      <c r="C28" s="27">
        <v>300</v>
      </c>
      <c r="D28" s="27">
        <v>392.32</v>
      </c>
      <c r="E28" s="27">
        <f t="shared" si="0"/>
        <v>2.205767425124114</v>
      </c>
      <c r="F28" s="27">
        <v>1929.72</v>
      </c>
      <c r="G28" s="27">
        <f>627530.69/1000</f>
        <v>627.5306899999999</v>
      </c>
      <c r="H28" s="25">
        <f t="shared" si="1"/>
        <v>47.80642680599414</v>
      </c>
      <c r="I28" s="27">
        <f t="shared" si="2"/>
        <v>392.32</v>
      </c>
    </row>
    <row r="29" spans="1:9" ht="12.75">
      <c r="A29" s="47" t="s">
        <v>9</v>
      </c>
      <c r="B29" s="26">
        <f>SUM(B30:B32)</f>
        <v>15600</v>
      </c>
      <c r="C29" s="26">
        <f>SUM(C30:C32)</f>
        <v>500</v>
      </c>
      <c r="D29" s="26">
        <f>SUM(D30:D32)</f>
        <v>1151.64</v>
      </c>
      <c r="E29" s="26">
        <f t="shared" si="0"/>
        <v>7.382307692307694</v>
      </c>
      <c r="F29" s="26">
        <v>793.07</v>
      </c>
      <c r="G29" s="26">
        <f>SUM(G30:G32)</f>
        <v>1026.5252500000001</v>
      </c>
      <c r="H29" s="25">
        <f t="shared" si="1"/>
        <v>48.70800791310296</v>
      </c>
      <c r="I29" s="26">
        <f t="shared" si="2"/>
        <v>1151.64</v>
      </c>
    </row>
    <row r="30" spans="1:9" ht="25.5">
      <c r="A30" s="51" t="s">
        <v>10</v>
      </c>
      <c r="B30" s="27">
        <v>15550</v>
      </c>
      <c r="C30" s="27">
        <v>500</v>
      </c>
      <c r="D30" s="27">
        <v>1136.64</v>
      </c>
      <c r="E30" s="27">
        <f t="shared" si="0"/>
        <v>7.309581993569132</v>
      </c>
      <c r="F30" s="27">
        <v>793.07</v>
      </c>
      <c r="G30" s="27">
        <f>1014925.25/1000</f>
        <v>1014.92525</v>
      </c>
      <c r="H30" s="25">
        <f t="shared" si="1"/>
        <v>49.26471185932166</v>
      </c>
      <c r="I30" s="27">
        <f t="shared" si="2"/>
        <v>1136.64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27">
        <f t="shared" si="2"/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27">
        <f t="shared" si="2"/>
        <v>15</v>
      </c>
    </row>
    <row r="33" spans="1:9" ht="25.5" customHeight="1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 t="shared" si="2"/>
        <v>0.02</v>
      </c>
    </row>
    <row r="34" spans="1:9" ht="25.5" customHeight="1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 t="shared" si="2"/>
        <v>0.02</v>
      </c>
    </row>
    <row r="35" spans="1:9" ht="25.5" customHeight="1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 t="shared" si="2"/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0.41</v>
      </c>
      <c r="E36" s="25">
        <v>0</v>
      </c>
      <c r="F36" s="25"/>
      <c r="G36" s="27">
        <v>0</v>
      </c>
      <c r="H36" s="25">
        <v>0</v>
      </c>
      <c r="I36" s="33">
        <f t="shared" si="2"/>
        <v>0.41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5060.52</v>
      </c>
      <c r="D37" s="26">
        <f>SUM(D39:D45)</f>
        <v>4633.94</v>
      </c>
      <c r="E37" s="26">
        <f t="shared" si="0"/>
        <v>8.030741118412159</v>
      </c>
      <c r="F37" s="26">
        <v>3247.05</v>
      </c>
      <c r="G37" s="26">
        <f>SUM(G39:G45)</f>
        <v>3331.27835</v>
      </c>
      <c r="H37" s="25">
        <f t="shared" si="1"/>
        <v>151.90925129387642</v>
      </c>
      <c r="I37" s="26">
        <f t="shared" si="2"/>
        <v>4633.94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 t="shared" si="2"/>
        <v>0</v>
      </c>
    </row>
    <row r="39" spans="1:9" ht="76.5">
      <c r="A39" s="51" t="s">
        <v>117</v>
      </c>
      <c r="B39" s="27">
        <v>29271.18</v>
      </c>
      <c r="C39" s="27">
        <v>2439.27</v>
      </c>
      <c r="D39" s="27">
        <v>2043.08</v>
      </c>
      <c r="E39" s="27">
        <f t="shared" si="0"/>
        <v>6.979834772633013</v>
      </c>
      <c r="F39" s="27">
        <v>2393.3</v>
      </c>
      <c r="G39" s="27">
        <f>1861737.65/1000</f>
        <v>1861.7376499999998</v>
      </c>
      <c r="H39" s="25">
        <f t="shared" si="1"/>
        <v>131.02114575595547</v>
      </c>
      <c r="I39" s="27">
        <f t="shared" si="2"/>
        <v>2043.08</v>
      </c>
    </row>
    <row r="40" spans="1:9" ht="76.5">
      <c r="A40" s="51" t="s">
        <v>125</v>
      </c>
      <c r="B40" s="27">
        <v>5434.31</v>
      </c>
      <c r="C40" s="27">
        <v>452.86</v>
      </c>
      <c r="D40" s="27">
        <v>903.73</v>
      </c>
      <c r="E40" s="27">
        <f t="shared" si="0"/>
        <v>16.630078151596063</v>
      </c>
      <c r="F40" s="27">
        <v>75.44</v>
      </c>
      <c r="G40" s="27">
        <f>160912.85/1000</f>
        <v>160.91285</v>
      </c>
      <c r="H40" s="25">
        <f t="shared" si="1"/>
        <v>281.4318433860317</v>
      </c>
      <c r="I40" s="27">
        <f t="shared" si="2"/>
        <v>903.73</v>
      </c>
    </row>
    <row r="41" spans="1:9" ht="76.5">
      <c r="A41" s="51" t="s">
        <v>118</v>
      </c>
      <c r="B41" s="27">
        <v>515.73</v>
      </c>
      <c r="C41" s="27">
        <v>39.79</v>
      </c>
      <c r="D41" s="27">
        <v>83.43</v>
      </c>
      <c r="E41" s="27">
        <f t="shared" si="0"/>
        <v>16.177069396777384</v>
      </c>
      <c r="F41" s="27">
        <v>3.43</v>
      </c>
      <c r="G41" s="27">
        <f>3504.13/1000</f>
        <v>3.50413</v>
      </c>
      <c r="H41" s="25">
        <f t="shared" si="1"/>
        <v>1135.5172325227659</v>
      </c>
      <c r="I41" s="27">
        <f t="shared" si="2"/>
        <v>83.43</v>
      </c>
    </row>
    <row r="42" spans="1:9" ht="38.25">
      <c r="A42" s="51" t="s">
        <v>119</v>
      </c>
      <c r="B42" s="27">
        <v>17384.33</v>
      </c>
      <c r="C42" s="27">
        <v>1448.69</v>
      </c>
      <c r="D42" s="27">
        <v>1409.03</v>
      </c>
      <c r="E42" s="27">
        <f t="shared" si="0"/>
        <v>8.10517287695298</v>
      </c>
      <c r="F42" s="27">
        <v>538.73</v>
      </c>
      <c r="G42" s="27">
        <f>1216579.84/1000</f>
        <v>1216.57984</v>
      </c>
      <c r="H42" s="25">
        <f t="shared" si="1"/>
        <v>119.07890895183664</v>
      </c>
      <c r="I42" s="27">
        <f t="shared" si="2"/>
        <v>1409.03</v>
      </c>
    </row>
    <row r="43" spans="1:9" ht="51">
      <c r="A43" s="51" t="s">
        <v>147</v>
      </c>
      <c r="B43" s="27">
        <v>62.2</v>
      </c>
      <c r="C43" s="27">
        <v>5.18</v>
      </c>
      <c r="D43" s="27">
        <v>0</v>
      </c>
      <c r="E43" s="27">
        <f t="shared" si="0"/>
        <v>0</v>
      </c>
      <c r="F43" s="27"/>
      <c r="G43" s="27">
        <v>0</v>
      </c>
      <c r="H43" s="25" t="s">
        <v>148</v>
      </c>
      <c r="I43" s="27">
        <f t="shared" si="2"/>
        <v>0</v>
      </c>
    </row>
    <row r="44" spans="1:9" ht="51">
      <c r="A44" s="51" t="s">
        <v>120</v>
      </c>
      <c r="B44" s="27">
        <v>1531</v>
      </c>
      <c r="C44" s="27">
        <v>382.75</v>
      </c>
      <c r="D44" s="27">
        <v>0</v>
      </c>
      <c r="E44" s="27">
        <f t="shared" si="0"/>
        <v>0</v>
      </c>
      <c r="F44" s="27">
        <v>0</v>
      </c>
      <c r="G44" s="27">
        <v>0</v>
      </c>
      <c r="H44" s="25" t="s">
        <v>148</v>
      </c>
      <c r="I44" s="27">
        <f t="shared" si="2"/>
        <v>0</v>
      </c>
    </row>
    <row r="45" spans="1:9" ht="76.5">
      <c r="A45" s="55" t="s">
        <v>121</v>
      </c>
      <c r="B45" s="27">
        <v>3503.77</v>
      </c>
      <c r="C45" s="27">
        <v>291.98</v>
      </c>
      <c r="D45" s="27">
        <v>194.67</v>
      </c>
      <c r="E45" s="27">
        <f t="shared" si="0"/>
        <v>5.556015377721711</v>
      </c>
      <c r="F45" s="27">
        <v>236.15</v>
      </c>
      <c r="G45" s="27">
        <f>88543.88/1000</f>
        <v>88.54388</v>
      </c>
      <c r="H45" s="25">
        <f t="shared" si="1"/>
        <v>329.75740389962584</v>
      </c>
      <c r="I45" s="27">
        <f t="shared" si="2"/>
        <v>194.67</v>
      </c>
    </row>
    <row r="46" spans="1:9" ht="27" customHeight="1">
      <c r="A46" s="48" t="s">
        <v>13</v>
      </c>
      <c r="B46" s="27">
        <v>598.72</v>
      </c>
      <c r="C46" s="27">
        <v>3</v>
      </c>
      <c r="D46" s="27">
        <v>2.37</v>
      </c>
      <c r="E46" s="25">
        <f t="shared" si="0"/>
        <v>0.39584446819882413</v>
      </c>
      <c r="F46" s="25">
        <v>43.6</v>
      </c>
      <c r="G46" s="27">
        <f>96256.37/1000</f>
        <v>96.25636999999999</v>
      </c>
      <c r="H46" s="25">
        <f t="shared" si="1"/>
        <v>3.116676849542529</v>
      </c>
      <c r="I46" s="33">
        <f t="shared" si="2"/>
        <v>2.37</v>
      </c>
    </row>
    <row r="47" spans="1:9" ht="25.5">
      <c r="A47" s="48" t="s">
        <v>96</v>
      </c>
      <c r="B47" s="27">
        <v>1290.36</v>
      </c>
      <c r="C47" s="27">
        <v>1.06</v>
      </c>
      <c r="D47" s="27">
        <v>0</v>
      </c>
      <c r="E47" s="25">
        <f t="shared" si="0"/>
        <v>0</v>
      </c>
      <c r="F47" s="25">
        <v>561.58</v>
      </c>
      <c r="G47" s="27">
        <f>21416.23/1000</f>
        <v>21.41623</v>
      </c>
      <c r="H47" s="25">
        <f t="shared" si="1"/>
        <v>4.949517258639827</v>
      </c>
      <c r="I47" s="33">
        <f t="shared" si="2"/>
        <v>0</v>
      </c>
    </row>
    <row r="48" spans="1:9" ht="25.5">
      <c r="A48" s="54" t="s">
        <v>14</v>
      </c>
      <c r="B48" s="27">
        <f>SUM(B49:B51)</f>
        <v>23400</v>
      </c>
      <c r="C48" s="27">
        <f>SUM(C49:C51)</f>
        <v>0</v>
      </c>
      <c r="D48" s="27">
        <f>SUM(D49:D51)</f>
        <v>476.8</v>
      </c>
      <c r="E48" s="25">
        <f t="shared" si="0"/>
        <v>2.0376068376068375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 t="shared" si="2"/>
        <v>476.8</v>
      </c>
    </row>
    <row r="49" spans="1:9" ht="12.75">
      <c r="A49" s="51" t="s">
        <v>94</v>
      </c>
      <c r="B49" s="33">
        <v>0</v>
      </c>
      <c r="C49" s="33">
        <v>0</v>
      </c>
      <c r="D49" s="33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 t="shared" si="2"/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 t="shared" si="2"/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476.8</v>
      </c>
      <c r="E51" s="27">
        <f t="shared" si="0"/>
        <v>34.05714285714286</v>
      </c>
      <c r="F51" s="27">
        <v>548.36</v>
      </c>
      <c r="G51" s="27">
        <f>273723.63/1000</f>
        <v>273.72363</v>
      </c>
      <c r="H51" s="25">
        <f t="shared" si="1"/>
        <v>0</v>
      </c>
      <c r="I51" s="27">
        <f t="shared" si="2"/>
        <v>476.8</v>
      </c>
    </row>
    <row r="52" spans="1:9" ht="12.75">
      <c r="A52" s="48" t="s">
        <v>15</v>
      </c>
      <c r="B52" s="26">
        <v>3600.1</v>
      </c>
      <c r="C52" s="26">
        <v>106.96</v>
      </c>
      <c r="D52" s="26">
        <v>-4938.72</v>
      </c>
      <c r="E52" s="26">
        <f t="shared" si="0"/>
        <v>-137.1828560317769</v>
      </c>
      <c r="F52" s="26">
        <v>179.73</v>
      </c>
      <c r="G52" s="26">
        <f>105873.81/1000</f>
        <v>105.87380999999999</v>
      </c>
      <c r="H52" s="25">
        <f t="shared" si="1"/>
        <v>101.02592888647344</v>
      </c>
      <c r="I52" s="26">
        <f t="shared" si="2"/>
        <v>-4938.72</v>
      </c>
    </row>
    <row r="53" spans="1:9" ht="63.75" customHeight="1" hidden="1">
      <c r="A53" s="51" t="s">
        <v>126</v>
      </c>
      <c r="B53" s="26">
        <v>223.07</v>
      </c>
      <c r="C53" s="26">
        <v>20</v>
      </c>
      <c r="D53" s="26"/>
      <c r="E53" s="26">
        <f t="shared" si="0"/>
        <v>0</v>
      </c>
      <c r="F53" s="26"/>
      <c r="G53" s="26"/>
      <c r="H53" s="25" t="e">
        <f t="shared" si="1"/>
        <v>#DIV/0!</v>
      </c>
      <c r="I53" s="26">
        <f t="shared" si="2"/>
        <v>0</v>
      </c>
    </row>
    <row r="54" spans="1:9" ht="89.25" customHeight="1" hidden="1">
      <c r="A54" s="51" t="s">
        <v>127</v>
      </c>
      <c r="B54" s="26">
        <v>223.07</v>
      </c>
      <c r="C54" s="26">
        <v>20</v>
      </c>
      <c r="D54" s="26"/>
      <c r="E54" s="26">
        <f t="shared" si="0"/>
        <v>0</v>
      </c>
      <c r="F54" s="26"/>
      <c r="G54" s="26"/>
      <c r="H54" s="25" t="e">
        <f t="shared" si="1"/>
        <v>#DIV/0!</v>
      </c>
      <c r="I54" s="26">
        <f t="shared" si="2"/>
        <v>0</v>
      </c>
    </row>
    <row r="55" spans="1:9" ht="63.75" customHeight="1" hidden="1">
      <c r="A55" s="51" t="s">
        <v>128</v>
      </c>
      <c r="B55" s="26">
        <v>223.07</v>
      </c>
      <c r="C55" s="26">
        <v>20</v>
      </c>
      <c r="D55" s="26"/>
      <c r="E55" s="26">
        <f t="shared" si="0"/>
        <v>0</v>
      </c>
      <c r="F55" s="26"/>
      <c r="G55" s="26"/>
      <c r="H55" s="25" t="e">
        <f t="shared" si="1"/>
        <v>#DIV/0!</v>
      </c>
      <c r="I55" s="26">
        <f t="shared" si="2"/>
        <v>0</v>
      </c>
    </row>
    <row r="56" spans="1:9" ht="29.25" customHeight="1" hidden="1">
      <c r="A56" s="51" t="s">
        <v>129</v>
      </c>
      <c r="B56" s="26">
        <v>223.07</v>
      </c>
      <c r="C56" s="26">
        <v>20</v>
      </c>
      <c r="D56" s="26"/>
      <c r="E56" s="26">
        <f t="shared" si="0"/>
        <v>0</v>
      </c>
      <c r="F56" s="26"/>
      <c r="G56" s="26"/>
      <c r="H56" s="25" t="e">
        <f t="shared" si="1"/>
        <v>#DIV/0!</v>
      </c>
      <c r="I56" s="26">
        <f t="shared" si="2"/>
        <v>0</v>
      </c>
    </row>
    <row r="57" spans="1:9" ht="38.25" customHeight="1" hidden="1">
      <c r="A57" s="51" t="s">
        <v>130</v>
      </c>
      <c r="B57" s="26">
        <v>223.07</v>
      </c>
      <c r="C57" s="26">
        <v>20</v>
      </c>
      <c r="D57" s="26"/>
      <c r="E57" s="26">
        <f t="shared" si="0"/>
        <v>0</v>
      </c>
      <c r="F57" s="26"/>
      <c r="G57" s="26"/>
      <c r="H57" s="25" t="e">
        <f t="shared" si="1"/>
        <v>#DIV/0!</v>
      </c>
      <c r="I57" s="26">
        <f t="shared" si="2"/>
        <v>0</v>
      </c>
    </row>
    <row r="58" spans="1:9" ht="43.5" customHeight="1" hidden="1">
      <c r="A58" s="51" t="s">
        <v>131</v>
      </c>
      <c r="B58" s="26">
        <v>223.07</v>
      </c>
      <c r="C58" s="26">
        <v>20</v>
      </c>
      <c r="D58" s="26"/>
      <c r="E58" s="26">
        <f t="shared" si="0"/>
        <v>0</v>
      </c>
      <c r="F58" s="26"/>
      <c r="G58" s="26"/>
      <c r="H58" s="25" t="e">
        <f t="shared" si="1"/>
        <v>#DIV/0!</v>
      </c>
      <c r="I58" s="26">
        <f t="shared" si="2"/>
        <v>0</v>
      </c>
    </row>
    <row r="59" spans="1:9" ht="40.5" customHeight="1" hidden="1">
      <c r="A59" s="51" t="s">
        <v>132</v>
      </c>
      <c r="B59" s="26">
        <v>223.07</v>
      </c>
      <c r="C59" s="26">
        <v>20</v>
      </c>
      <c r="D59" s="26"/>
      <c r="E59" s="26">
        <f t="shared" si="0"/>
        <v>0</v>
      </c>
      <c r="F59" s="26"/>
      <c r="G59" s="26"/>
      <c r="H59" s="25" t="e">
        <f t="shared" si="1"/>
        <v>#DIV/0!</v>
      </c>
      <c r="I59" s="26">
        <f t="shared" si="2"/>
        <v>0</v>
      </c>
    </row>
    <row r="60" spans="1:9" ht="51" customHeight="1" hidden="1">
      <c r="A60" s="51" t="s">
        <v>133</v>
      </c>
      <c r="B60" s="26">
        <v>223.07</v>
      </c>
      <c r="C60" s="26">
        <v>20</v>
      </c>
      <c r="D60" s="26"/>
      <c r="E60" s="26">
        <f t="shared" si="0"/>
        <v>0</v>
      </c>
      <c r="F60" s="26"/>
      <c r="G60" s="26"/>
      <c r="H60" s="25" t="e">
        <f t="shared" si="1"/>
        <v>#DIV/0!</v>
      </c>
      <c r="I60" s="26">
        <f t="shared" si="2"/>
        <v>0</v>
      </c>
    </row>
    <row r="61" spans="1:9" ht="76.5" customHeight="1" hidden="1">
      <c r="A61" s="51" t="s">
        <v>134</v>
      </c>
      <c r="B61" s="26">
        <v>223.07</v>
      </c>
      <c r="C61" s="26">
        <v>20</v>
      </c>
      <c r="D61" s="26"/>
      <c r="E61" s="26">
        <f t="shared" si="0"/>
        <v>0</v>
      </c>
      <c r="F61" s="26"/>
      <c r="G61" s="26"/>
      <c r="H61" s="25" t="e">
        <f t="shared" si="1"/>
        <v>#DIV/0!</v>
      </c>
      <c r="I61" s="26">
        <f t="shared" si="2"/>
        <v>0</v>
      </c>
    </row>
    <row r="62" spans="1:9" ht="12.75" customHeight="1" hidden="1">
      <c r="A62" s="51" t="s">
        <v>135</v>
      </c>
      <c r="B62" s="26">
        <v>223.07</v>
      </c>
      <c r="C62" s="26">
        <v>20</v>
      </c>
      <c r="D62" s="26"/>
      <c r="E62" s="26">
        <f t="shared" si="0"/>
        <v>0</v>
      </c>
      <c r="F62" s="26"/>
      <c r="G62" s="26"/>
      <c r="H62" s="25" t="e">
        <f t="shared" si="1"/>
        <v>#DIV/0!</v>
      </c>
      <c r="I62" s="26">
        <f t="shared" si="2"/>
        <v>0</v>
      </c>
    </row>
    <row r="63" spans="1:9" ht="12.75">
      <c r="A63" s="47" t="s">
        <v>16</v>
      </c>
      <c r="B63" s="26">
        <v>10</v>
      </c>
      <c r="C63" s="26">
        <v>0.8</v>
      </c>
      <c r="D63" s="26">
        <v>-1071.92</v>
      </c>
      <c r="E63" s="26">
        <f t="shared" si="0"/>
        <v>-10719.2</v>
      </c>
      <c r="F63" s="26">
        <v>-38.79</v>
      </c>
      <c r="G63" s="26">
        <v>0</v>
      </c>
      <c r="H63" s="25" t="s">
        <v>148</v>
      </c>
      <c r="I63" s="26">
        <f t="shared" si="2"/>
        <v>-1071.92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20087.34</v>
      </c>
      <c r="D64" s="26">
        <f>D63+D52+D48+D47+D46+D37+D29+D26+D21+D16+D8</f>
        <v>25872.69</v>
      </c>
      <c r="E64" s="26">
        <f t="shared" si="0"/>
        <v>3.6032748148252756</v>
      </c>
      <c r="F64" s="26">
        <v>27699.089999999997</v>
      </c>
      <c r="G64" s="26">
        <f>G63+G52+G48+G47+G46+G37+G29+G26+G21+G16+G8</f>
        <v>34369.89031</v>
      </c>
      <c r="H64" s="25">
        <f t="shared" si="1"/>
        <v>58.44458570807699</v>
      </c>
      <c r="I64" s="26">
        <f t="shared" si="2"/>
        <v>25872.69</v>
      </c>
    </row>
    <row r="65" spans="1:9" ht="12.75">
      <c r="A65" s="54" t="s">
        <v>18</v>
      </c>
      <c r="B65" s="26">
        <f>B66+B71+B72</f>
        <v>2814369.05</v>
      </c>
      <c r="C65" s="26">
        <f>C66+C71+C72</f>
        <v>19476.479999999996</v>
      </c>
      <c r="D65" s="26">
        <f>D66+D71+D72</f>
        <v>19476.479999999996</v>
      </c>
      <c r="E65" s="26">
        <f t="shared" si="0"/>
        <v>0.6920371725946886</v>
      </c>
      <c r="F65" s="26">
        <v>43822.57000000001</v>
      </c>
      <c r="G65" s="26">
        <f>G66+G71+G72</f>
        <v>26428.086470000002</v>
      </c>
      <c r="H65" s="25">
        <f t="shared" si="1"/>
        <v>73.69614149745135</v>
      </c>
      <c r="I65" s="26">
        <f t="shared" si="2"/>
        <v>19476.479999999996</v>
      </c>
    </row>
    <row r="66" spans="1:9" ht="25.5">
      <c r="A66" s="54" t="s">
        <v>19</v>
      </c>
      <c r="B66" s="26">
        <f>SUM(B67:B70)</f>
        <v>2868184.75</v>
      </c>
      <c r="C66" s="26">
        <f>SUM(C67:C70)</f>
        <v>73292.18</v>
      </c>
      <c r="D66" s="26">
        <f>SUM(D67:D70)</f>
        <v>73292.18</v>
      </c>
      <c r="E66" s="26">
        <f t="shared" si="0"/>
        <v>2.555350731852263</v>
      </c>
      <c r="F66" s="26">
        <v>46091.770000000004</v>
      </c>
      <c r="G66" s="26">
        <f>SUM(G67:G70)</f>
        <v>51320.40685</v>
      </c>
      <c r="H66" s="25">
        <f t="shared" si="1"/>
        <v>142.81293640991467</v>
      </c>
      <c r="I66" s="26">
        <f t="shared" si="2"/>
        <v>73292.18</v>
      </c>
    </row>
    <row r="67" spans="1:9" ht="12.75">
      <c r="A67" s="51" t="s">
        <v>108</v>
      </c>
      <c r="B67" s="27">
        <v>565077</v>
      </c>
      <c r="C67" s="27">
        <v>37020.8</v>
      </c>
      <c r="D67" s="27">
        <v>37020.8</v>
      </c>
      <c r="E67" s="25">
        <f t="shared" si="0"/>
        <v>6.551461128306409</v>
      </c>
      <c r="F67" s="25">
        <v>15902.8</v>
      </c>
      <c r="G67" s="27">
        <f>18665500/1000</f>
        <v>18665.5</v>
      </c>
      <c r="H67" s="25">
        <f t="shared" si="1"/>
        <v>198.3381104176154</v>
      </c>
      <c r="I67" s="33">
        <f t="shared" si="2"/>
        <v>37020.8</v>
      </c>
    </row>
    <row r="68" spans="1:9" ht="12.75" customHeight="1">
      <c r="A68" s="51" t="s">
        <v>109</v>
      </c>
      <c r="B68" s="27">
        <v>1021638.65</v>
      </c>
      <c r="C68" s="27">
        <v>0</v>
      </c>
      <c r="D68" s="27">
        <v>0</v>
      </c>
      <c r="E68" s="25">
        <f t="shared" si="0"/>
        <v>0</v>
      </c>
      <c r="F68" s="25">
        <v>0</v>
      </c>
      <c r="G68" s="27">
        <f>702486/1000</f>
        <v>702.486</v>
      </c>
      <c r="H68" s="25">
        <f t="shared" si="1"/>
        <v>0</v>
      </c>
      <c r="I68" s="33">
        <f t="shared" si="2"/>
        <v>0</v>
      </c>
    </row>
    <row r="69" spans="1:9" ht="18.75" customHeight="1">
      <c r="A69" s="51" t="s">
        <v>110</v>
      </c>
      <c r="B69" s="27">
        <v>1232125.5</v>
      </c>
      <c r="C69" s="27">
        <v>36271.38</v>
      </c>
      <c r="D69" s="27">
        <v>36271.38</v>
      </c>
      <c r="E69" s="25">
        <f t="shared" si="0"/>
        <v>2.943805643175147</v>
      </c>
      <c r="F69" s="25">
        <v>30188.97</v>
      </c>
      <c r="G69" s="27">
        <f>31952420.85/1000</f>
        <v>31952.420850000002</v>
      </c>
      <c r="H69" s="25">
        <f t="shared" si="1"/>
        <v>113.51684484338531</v>
      </c>
      <c r="I69" s="33">
        <f t="shared" si="2"/>
        <v>36271.38</v>
      </c>
    </row>
    <row r="70" spans="1:9" ht="12.75" customHeight="1">
      <c r="A70" s="2" t="s">
        <v>122</v>
      </c>
      <c r="B70" s="27">
        <v>49343.6</v>
      </c>
      <c r="C70" s="27">
        <v>0</v>
      </c>
      <c r="D70" s="27">
        <v>0</v>
      </c>
      <c r="E70" s="25">
        <f t="shared" si="0"/>
        <v>0</v>
      </c>
      <c r="F70" s="25">
        <v>0</v>
      </c>
      <c r="G70" s="34">
        <v>0</v>
      </c>
      <c r="H70" s="25" t="s">
        <v>148</v>
      </c>
      <c r="I70" s="33">
        <f t="shared" si="2"/>
        <v>0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26">
        <f t="shared" si="2"/>
        <v>0</v>
      </c>
    </row>
    <row r="72" spans="1:9" ht="25.5">
      <c r="A72" s="54" t="s">
        <v>21</v>
      </c>
      <c r="B72" s="26">
        <v>-53815.7</v>
      </c>
      <c r="C72" s="26">
        <v>-53815.7</v>
      </c>
      <c r="D72" s="26">
        <v>-53815.7</v>
      </c>
      <c r="E72" s="26">
        <f t="shared" si="0"/>
        <v>100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26">
        <f t="shared" si="2"/>
        <v>-53815.7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3532401.71</v>
      </c>
      <c r="C73" s="26">
        <f>C9+C11+C12+C13+C14+C15+C17+C18+C19+C20+C22+C23+C24+C25+C27+C28+C30+C31+C32+C39+C40+C41+C42+C43+C44+C45+C46+C47+C49+C50+C51+C52+C63+C67+C68+C69+C70+C71+C72</f>
        <v>39563.81999999999</v>
      </c>
      <c r="D73" s="26">
        <f>D9+D11+D12+D13+D14+D15+D17+D18+D19+D20+D22+D23+D24+D25+D27+D28+D30+D31+D32+D39+D40+D41+D42+D43+D44+D45+D46+D47+D49+D50+D51+D52+D63+D67+D68+D69+D70+D71+D72+D36</f>
        <v>45349.58</v>
      </c>
      <c r="E73" s="25">
        <f>D73/B73*100</f>
        <v>1.2838171794453128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65.07423782071452</v>
      </c>
      <c r="I73" s="33">
        <f>D73</f>
        <v>45349.58</v>
      </c>
    </row>
    <row r="74" spans="1:9" ht="12.75" customHeight="1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customHeight="1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customHeight="1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customHeight="1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2" t="s">
        <v>22</v>
      </c>
      <c r="B78" s="103"/>
      <c r="C78" s="103"/>
      <c r="D78" s="103"/>
      <c r="E78" s="103"/>
      <c r="F78" s="103"/>
      <c r="G78" s="103"/>
      <c r="H78" s="103"/>
      <c r="I78" s="104"/>
    </row>
    <row r="79" spans="1:9" ht="12.75">
      <c r="A79" s="7" t="s">
        <v>23</v>
      </c>
      <c r="B79" s="33">
        <f>B80+B81+B82+B83+B84+B85+B86+B87</f>
        <v>434547.43</v>
      </c>
      <c r="C79" s="33">
        <f>C80+C81+C82+C83+C84+C85+C86+C87</f>
        <v>8079.62</v>
      </c>
      <c r="D79" s="33">
        <f>D80+D81+D82+D83+D84+D85+D86+D87</f>
        <v>4040.7699999999995</v>
      </c>
      <c r="E79" s="25">
        <f>$D:$D/$B:$B*100</f>
        <v>0.9298800823652321</v>
      </c>
      <c r="F79" s="25">
        <f>$D:$D/$C:$C*100</f>
        <v>50.011881746913836</v>
      </c>
      <c r="G79" s="33">
        <v>3236.1400000000003</v>
      </c>
      <c r="H79" s="25">
        <f>$D:$D/$G:$G*100</f>
        <v>124.86388104346533</v>
      </c>
      <c r="I79" s="33">
        <f>I80+I81+I82+I83+I84+I85+I86+I87</f>
        <v>4088.2099999999996</v>
      </c>
    </row>
    <row r="80" spans="1:9" ht="14.25" customHeight="1">
      <c r="A80" s="8" t="s">
        <v>24</v>
      </c>
      <c r="B80" s="27">
        <v>3112.77</v>
      </c>
      <c r="C80" s="27">
        <v>241.38</v>
      </c>
      <c r="D80" s="27">
        <v>84.67</v>
      </c>
      <c r="E80" s="28">
        <f>$D:$D/$B:$B*100</f>
        <v>2.720085325931566</v>
      </c>
      <c r="F80" s="28">
        <v>0</v>
      </c>
      <c r="G80" s="34">
        <v>0</v>
      </c>
      <c r="H80" s="28">
        <v>0</v>
      </c>
      <c r="I80" s="34">
        <f>D80</f>
        <v>84.67</v>
      </c>
    </row>
    <row r="81" spans="1:9" ht="12.75">
      <c r="A81" s="8" t="s">
        <v>25</v>
      </c>
      <c r="B81" s="27">
        <v>7499.62</v>
      </c>
      <c r="C81" s="27">
        <v>503.84</v>
      </c>
      <c r="D81" s="27">
        <v>179.94</v>
      </c>
      <c r="E81" s="28">
        <f>$D:$D/$B:$B*100</f>
        <v>2.3993215656259914</v>
      </c>
      <c r="F81" s="28">
        <f>$D:$D/$C:$C*100</f>
        <v>35.71371864083836</v>
      </c>
      <c r="G81" s="34">
        <v>176.91</v>
      </c>
      <c r="H81" s="28">
        <f>$D:$D/$G:$G*100</f>
        <v>101.71273528913008</v>
      </c>
      <c r="I81" s="34">
        <f>D81</f>
        <v>179.94</v>
      </c>
    </row>
    <row r="82" spans="1:9" ht="25.5">
      <c r="A82" s="8" t="s">
        <v>26</v>
      </c>
      <c r="B82" s="27">
        <v>68863.27</v>
      </c>
      <c r="C82" s="27">
        <v>4496.61</v>
      </c>
      <c r="D82" s="27">
        <v>1766.43</v>
      </c>
      <c r="E82" s="28">
        <f>$D:$D/$B:$B*100</f>
        <v>2.5651265180988356</v>
      </c>
      <c r="F82" s="28">
        <f>$D:$D/$C:$C*100</f>
        <v>39.28359364054255</v>
      </c>
      <c r="G82" s="34">
        <v>1687.84</v>
      </c>
      <c r="H82" s="28">
        <f>$D:$D/$G:$G*100</f>
        <v>104.6562470376339</v>
      </c>
      <c r="I82" s="34">
        <f aca="true" t="shared" si="3" ref="I82:I126">D82</f>
        <v>1766.43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4">
        <v>0</v>
      </c>
      <c r="H83" s="28">
        <v>0</v>
      </c>
      <c r="I83" s="34">
        <f>D84</f>
        <v>838.99</v>
      </c>
    </row>
    <row r="84" spans="1:9" ht="25.5">
      <c r="A84" s="1" t="s">
        <v>27</v>
      </c>
      <c r="B84" s="27">
        <v>17596.75</v>
      </c>
      <c r="C84" s="27">
        <v>1275.25</v>
      </c>
      <c r="D84" s="27">
        <v>838.99</v>
      </c>
      <c r="E84" s="28">
        <f>$D:$D/$B:$B*100</f>
        <v>4.767869066731072</v>
      </c>
      <c r="F84" s="28">
        <v>0</v>
      </c>
      <c r="G84" s="34">
        <v>437.11</v>
      </c>
      <c r="H84" s="28">
        <f>$D:$D/$G:$G*100</f>
        <v>191.9402438745396</v>
      </c>
      <c r="I84" s="34">
        <f>D85</f>
        <v>0</v>
      </c>
    </row>
    <row r="85" spans="1:9" ht="12.75" customHeight="1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4">
        <v>0</v>
      </c>
      <c r="H85" s="28">
        <v>0</v>
      </c>
      <c r="I85" s="34">
        <f>D86</f>
        <v>0</v>
      </c>
    </row>
    <row r="86" spans="1:9" ht="12.75">
      <c r="A86" s="8" t="s">
        <v>29</v>
      </c>
      <c r="B86" s="27">
        <v>26603.83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4">
        <v>0</v>
      </c>
      <c r="H86" s="28">
        <v>0</v>
      </c>
      <c r="I86" s="34">
        <f>D87</f>
        <v>1170.74</v>
      </c>
    </row>
    <row r="87" spans="1:9" ht="12.75">
      <c r="A87" s="1" t="s">
        <v>30</v>
      </c>
      <c r="B87" s="27">
        <v>310867.19</v>
      </c>
      <c r="C87" s="27">
        <v>1562.54</v>
      </c>
      <c r="D87" s="27">
        <v>1170.74</v>
      </c>
      <c r="E87" s="28">
        <f>$D:$D/$B:$B*100</f>
        <v>0.3766045557911724</v>
      </c>
      <c r="F87" s="28">
        <f>$D:$D/$C:$C*100</f>
        <v>74.92544190868713</v>
      </c>
      <c r="G87" s="34">
        <v>934.28</v>
      </c>
      <c r="H87" s="28">
        <f>$D:$D/$G:$G*100</f>
        <v>125.30932910904656</v>
      </c>
      <c r="I87" s="34">
        <f>D88</f>
        <v>47.44</v>
      </c>
    </row>
    <row r="88" spans="1:9" ht="12.75">
      <c r="A88" s="7" t="s">
        <v>31</v>
      </c>
      <c r="B88" s="27">
        <v>527.7</v>
      </c>
      <c r="C88" s="27">
        <v>47.44</v>
      </c>
      <c r="D88" s="27">
        <v>47.44</v>
      </c>
      <c r="E88" s="25">
        <f>$D:$D/$B:$B*100</f>
        <v>8.989956414629523</v>
      </c>
      <c r="F88" s="25">
        <f>$D:$D/$C:$C*100</f>
        <v>100</v>
      </c>
      <c r="G88" s="34">
        <v>31.6</v>
      </c>
      <c r="H88" s="25">
        <v>0</v>
      </c>
      <c r="I88" s="33">
        <f>D88</f>
        <v>47.44</v>
      </c>
    </row>
    <row r="89" spans="1:9" ht="25.5">
      <c r="A89" s="9" t="s">
        <v>32</v>
      </c>
      <c r="B89" s="26">
        <v>7605.73</v>
      </c>
      <c r="C89" s="26">
        <v>120</v>
      </c>
      <c r="D89" s="26">
        <v>120</v>
      </c>
      <c r="E89" s="25">
        <f>$D:$D/$B:$B*100</f>
        <v>1.5777578220631023</v>
      </c>
      <c r="F89" s="25">
        <f>$D:$D/$C:$C*100</f>
        <v>100</v>
      </c>
      <c r="G89" s="34">
        <v>87</v>
      </c>
      <c r="H89" s="25">
        <f>$D:$D/$G:$G*100</f>
        <v>137.93103448275863</v>
      </c>
      <c r="I89" s="33">
        <f t="shared" si="3"/>
        <v>120</v>
      </c>
    </row>
    <row r="90" spans="1:9" ht="12.75">
      <c r="A90" s="7" t="s">
        <v>33</v>
      </c>
      <c r="B90" s="33">
        <f>B91+B92+B93+B94+B95</f>
        <v>203553.25999999998</v>
      </c>
      <c r="C90" s="33">
        <f>C91+C92+C93+C94+C95</f>
        <v>3235.73</v>
      </c>
      <c r="D90" s="33">
        <f>D91+D92+D93+D94+D95</f>
        <v>2485.29</v>
      </c>
      <c r="E90" s="25">
        <f>$D:$D/$B:$B*100</f>
        <v>1.2209531795265771</v>
      </c>
      <c r="F90" s="25">
        <f>$D:$D/$C:$C*100</f>
        <v>76.80770645263975</v>
      </c>
      <c r="G90" s="33">
        <v>880.29</v>
      </c>
      <c r="H90" s="25">
        <f>$D:$D/$G:$G*100</f>
        <v>282.32627883992774</v>
      </c>
      <c r="I90" s="33">
        <f t="shared" si="3"/>
        <v>2485.29</v>
      </c>
    </row>
    <row r="91" spans="1:9" ht="12.75" customHeight="1" hidden="1">
      <c r="A91" s="10" t="s">
        <v>64</v>
      </c>
      <c r="B91" s="34"/>
      <c r="C91" s="34"/>
      <c r="D91" s="34"/>
      <c r="E91" s="28">
        <v>0</v>
      </c>
      <c r="F91" s="28">
        <v>0</v>
      </c>
      <c r="G91" s="34"/>
      <c r="H91" s="28">
        <v>0</v>
      </c>
      <c r="I91" s="34">
        <f t="shared" si="3"/>
        <v>0</v>
      </c>
    </row>
    <row r="92" spans="1:9" ht="12.75" customHeight="1">
      <c r="A92" s="10" t="s">
        <v>67</v>
      </c>
      <c r="B92" s="27">
        <v>752.34</v>
      </c>
      <c r="C92" s="27">
        <v>0</v>
      </c>
      <c r="D92" s="27">
        <v>0</v>
      </c>
      <c r="E92" s="28">
        <v>0</v>
      </c>
      <c r="F92" s="28">
        <v>0</v>
      </c>
      <c r="G92" s="34">
        <v>0</v>
      </c>
      <c r="H92" s="28">
        <v>0</v>
      </c>
      <c r="I92" s="34">
        <f t="shared" si="3"/>
        <v>0</v>
      </c>
    </row>
    <row r="93" spans="1:9" ht="12.75">
      <c r="A93" s="8" t="s">
        <v>34</v>
      </c>
      <c r="B93" s="27">
        <v>29381</v>
      </c>
      <c r="C93" s="27">
        <v>0</v>
      </c>
      <c r="D93" s="27">
        <v>0</v>
      </c>
      <c r="E93" s="28">
        <f>$D:$D/$B:$B*100</f>
        <v>0</v>
      </c>
      <c r="F93" s="28">
        <v>0</v>
      </c>
      <c r="G93" s="34">
        <v>0</v>
      </c>
      <c r="H93" s="28">
        <v>0</v>
      </c>
      <c r="I93" s="34">
        <f t="shared" si="3"/>
        <v>0</v>
      </c>
    </row>
    <row r="94" spans="1:9" ht="12.75">
      <c r="A94" s="10" t="s">
        <v>77</v>
      </c>
      <c r="B94" s="27">
        <v>155000.74</v>
      </c>
      <c r="C94" s="27">
        <v>2186.85</v>
      </c>
      <c r="D94" s="27">
        <v>2186.85</v>
      </c>
      <c r="E94" s="28">
        <f>$D:$D/$B:$B*100</f>
        <v>1.4108642320030214</v>
      </c>
      <c r="F94" s="28">
        <f>$D:$D/$C:$C*100</f>
        <v>100</v>
      </c>
      <c r="G94" s="27">
        <v>0</v>
      </c>
      <c r="H94" s="28">
        <v>0</v>
      </c>
      <c r="I94" s="34">
        <f t="shared" si="3"/>
        <v>2186.85</v>
      </c>
    </row>
    <row r="95" spans="1:9" ht="12.75">
      <c r="A95" s="8" t="s">
        <v>35</v>
      </c>
      <c r="B95" s="27">
        <v>18419.18</v>
      </c>
      <c r="C95" s="27">
        <v>1048.88</v>
      </c>
      <c r="D95" s="27">
        <v>298.44</v>
      </c>
      <c r="E95" s="28">
        <f>$D:$D/$B:$B*100</f>
        <v>1.6202675689145771</v>
      </c>
      <c r="F95" s="28">
        <f>$D:$D/$C:$C*100</f>
        <v>28.45320723056975</v>
      </c>
      <c r="G95" s="27">
        <v>880.29</v>
      </c>
      <c r="H95" s="28">
        <f>$D:$D/$G:$G*100</f>
        <v>33.902463960740214</v>
      </c>
      <c r="I95" s="34">
        <f t="shared" si="3"/>
        <v>298.44</v>
      </c>
    </row>
    <row r="96" spans="1:9" ht="12.75">
      <c r="A96" s="7" t="s">
        <v>36</v>
      </c>
      <c r="B96" s="33">
        <f>B98+B99+B100+B97</f>
        <v>343201.45</v>
      </c>
      <c r="C96" s="27">
        <f>C98+C99+C100+C97</f>
        <v>3567.75</v>
      </c>
      <c r="D96" s="33">
        <f>D98+D99+D100+D97</f>
        <v>3132.88</v>
      </c>
      <c r="E96" s="33">
        <f>E99+E100+E97</f>
        <v>3.1891463397417446</v>
      </c>
      <c r="F96" s="25">
        <f>$D:$D/$C:$C*100</f>
        <v>87.81108541798052</v>
      </c>
      <c r="G96" s="33">
        <v>1626.4299999999998</v>
      </c>
      <c r="H96" s="33">
        <f>H98+H99+H100</f>
        <v>456.43316845981695</v>
      </c>
      <c r="I96" s="33">
        <f>D96</f>
        <v>3132.88</v>
      </c>
    </row>
    <row r="97" spans="1:9" ht="12.75">
      <c r="A97" s="8" t="s">
        <v>37</v>
      </c>
      <c r="B97" s="27">
        <v>950</v>
      </c>
      <c r="C97" s="27">
        <v>0</v>
      </c>
      <c r="D97" s="27">
        <v>0</v>
      </c>
      <c r="E97" s="43">
        <v>0</v>
      </c>
      <c r="F97" s="28">
        <v>0</v>
      </c>
      <c r="G97" s="44">
        <v>0</v>
      </c>
      <c r="H97" s="28">
        <v>0</v>
      </c>
      <c r="I97" s="34">
        <f t="shared" si="3"/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>$D:$D/$B:$B*100</f>
        <v>0</v>
      </c>
      <c r="F98" s="28">
        <v>0</v>
      </c>
      <c r="G98" s="34">
        <v>0</v>
      </c>
      <c r="H98" s="28">
        <v>0</v>
      </c>
      <c r="I98" s="34">
        <f t="shared" si="3"/>
        <v>0</v>
      </c>
    </row>
    <row r="99" spans="1:9" ht="12.75">
      <c r="A99" s="8" t="s">
        <v>39</v>
      </c>
      <c r="B99" s="27">
        <v>281547.38</v>
      </c>
      <c r="C99" s="27">
        <v>1662.43</v>
      </c>
      <c r="D99" s="27">
        <v>1662.43</v>
      </c>
      <c r="E99" s="28">
        <f>$D:$D/$B:$B*100</f>
        <v>0.5904618966796992</v>
      </c>
      <c r="F99" s="28">
        <f>$D:$D/$C:$C*100</f>
        <v>100</v>
      </c>
      <c r="G99" s="27">
        <v>1156.09</v>
      </c>
      <c r="H99" s="28">
        <f>$D:$D/$G:$G*100</f>
        <v>143.7976282123364</v>
      </c>
      <c r="I99" s="34">
        <f t="shared" si="3"/>
        <v>1662.43</v>
      </c>
    </row>
    <row r="100" spans="1:9" ht="12.75">
      <c r="A100" s="8" t="s">
        <v>40</v>
      </c>
      <c r="B100" s="27">
        <v>56584.4</v>
      </c>
      <c r="C100" s="27">
        <v>1905.32</v>
      </c>
      <c r="D100" s="27">
        <v>1470.45</v>
      </c>
      <c r="E100" s="28">
        <f>$D:$D/$B:$B*100</f>
        <v>2.5986844430620453</v>
      </c>
      <c r="F100" s="28">
        <f>$D:$D/$C:$C*100</f>
        <v>77.1760124283585</v>
      </c>
      <c r="G100" s="27">
        <v>470.34</v>
      </c>
      <c r="H100" s="28">
        <f>$D:$D/$G:$G*100</f>
        <v>312.63554024748055</v>
      </c>
      <c r="I100" s="34">
        <f t="shared" si="3"/>
        <v>1470.45</v>
      </c>
    </row>
    <row r="101" spans="1:9" ht="12.75">
      <c r="A101" s="11" t="s">
        <v>115</v>
      </c>
      <c r="B101" s="33">
        <f>B102</f>
        <v>14079.44</v>
      </c>
      <c r="C101" s="33">
        <f>C102</f>
        <v>0</v>
      </c>
      <c r="D101" s="33">
        <f>D102</f>
        <v>0</v>
      </c>
      <c r="E101" s="25">
        <f>$D:$D/$B:$B*100</f>
        <v>0</v>
      </c>
      <c r="F101" s="25"/>
      <c r="G101" s="33">
        <v>0</v>
      </c>
      <c r="H101" s="25">
        <v>0</v>
      </c>
      <c r="I101" s="33">
        <f t="shared" si="3"/>
        <v>0</v>
      </c>
    </row>
    <row r="102" spans="1:9" ht="38.25">
      <c r="A102" s="39" t="s">
        <v>162</v>
      </c>
      <c r="B102" s="27">
        <v>14079.44</v>
      </c>
      <c r="C102" s="27">
        <v>0</v>
      </c>
      <c r="D102" s="27">
        <v>0</v>
      </c>
      <c r="E102" s="28">
        <f>$D:$D/$B:$B*100</f>
        <v>0</v>
      </c>
      <c r="F102" s="28"/>
      <c r="G102" s="34">
        <v>0</v>
      </c>
      <c r="H102" s="28">
        <v>0</v>
      </c>
      <c r="I102" s="34">
        <f t="shared" si="3"/>
        <v>0</v>
      </c>
    </row>
    <row r="103" spans="1:9" ht="12.75">
      <c r="A103" s="11" t="s">
        <v>41</v>
      </c>
      <c r="B103" s="33">
        <f>B104+B105+B107+B108+B109+B106</f>
        <v>1836803.2100000002</v>
      </c>
      <c r="C103" s="33">
        <f>C104+C105+C107+C108+C109+C106</f>
        <v>54807.35</v>
      </c>
      <c r="D103" s="33">
        <f>D104+D105+D107+D108+D109+D106</f>
        <v>53904.37</v>
      </c>
      <c r="E103" s="33">
        <f>E104+E105+E108+E109+E107</f>
        <v>10.541543408950634</v>
      </c>
      <c r="F103" s="33" t="e">
        <f>F104+F105+F108+F109+F107</f>
        <v>#DIV/0!</v>
      </c>
      <c r="G103" s="33">
        <v>45174.7</v>
      </c>
      <c r="H103" s="33">
        <f>H104+H105+H108+H109+H107</f>
        <v>468.4292580078612</v>
      </c>
      <c r="I103" s="33">
        <f t="shared" si="3"/>
        <v>53904.37</v>
      </c>
    </row>
    <row r="104" spans="1:9" ht="12.75">
      <c r="A104" s="8" t="s">
        <v>42</v>
      </c>
      <c r="B104" s="27">
        <v>707512.99</v>
      </c>
      <c r="C104" s="27">
        <v>22377.35</v>
      </c>
      <c r="D104" s="27">
        <v>22377.35</v>
      </c>
      <c r="E104" s="28">
        <f aca="true" t="shared" si="4" ref="E104:E122">$D:$D/$B:$B*100</f>
        <v>3.1628182544040637</v>
      </c>
      <c r="F104" s="28">
        <f aca="true" t="shared" si="5" ref="F104:F112">$D:$D/$C:$C*100</f>
        <v>100</v>
      </c>
      <c r="G104" s="27">
        <v>19160.43</v>
      </c>
      <c r="H104" s="28">
        <f>$D:$D/$G:$G*100</f>
        <v>116.78939355745146</v>
      </c>
      <c r="I104" s="34">
        <f t="shared" si="3"/>
        <v>22377.35</v>
      </c>
    </row>
    <row r="105" spans="1:9" ht="12.75">
      <c r="A105" s="8" t="s">
        <v>43</v>
      </c>
      <c r="B105" s="27">
        <v>739770.28</v>
      </c>
      <c r="C105" s="27">
        <v>21714.6</v>
      </c>
      <c r="D105" s="27">
        <v>21556.46</v>
      </c>
      <c r="E105" s="28">
        <f t="shared" si="4"/>
        <v>2.9139397165292986</v>
      </c>
      <c r="F105" s="28">
        <f t="shared" si="5"/>
        <v>99.27173422489938</v>
      </c>
      <c r="G105" s="27">
        <v>18625.82</v>
      </c>
      <c r="H105" s="28">
        <f>$D:$D/$G:$G*100</f>
        <v>115.73428713474092</v>
      </c>
      <c r="I105" s="34">
        <f t="shared" si="3"/>
        <v>21556.46</v>
      </c>
    </row>
    <row r="106" spans="1:9" ht="12.75">
      <c r="A106" s="21" t="s">
        <v>105</v>
      </c>
      <c r="B106" s="27">
        <v>145061.47</v>
      </c>
      <c r="C106" s="27">
        <v>3873.36</v>
      </c>
      <c r="D106" s="27">
        <v>3873.36</v>
      </c>
      <c r="E106" s="28">
        <f t="shared" si="4"/>
        <v>2.6701507988303166</v>
      </c>
      <c r="F106" s="28">
        <f t="shared" si="5"/>
        <v>100</v>
      </c>
      <c r="G106" s="27">
        <v>3197.11</v>
      </c>
      <c r="H106" s="28">
        <f>$D:$D/$G:$G*100</f>
        <v>121.15191532352657</v>
      </c>
      <c r="I106" s="34">
        <f t="shared" si="3"/>
        <v>3873.36</v>
      </c>
    </row>
    <row r="107" spans="1:9" ht="25.5">
      <c r="A107" s="8" t="s">
        <v>123</v>
      </c>
      <c r="B107" s="27">
        <v>389.35</v>
      </c>
      <c r="C107" s="27">
        <v>0</v>
      </c>
      <c r="D107" s="27">
        <v>0</v>
      </c>
      <c r="E107" s="28">
        <f t="shared" si="4"/>
        <v>0</v>
      </c>
      <c r="F107" s="28" t="e">
        <f t="shared" si="5"/>
        <v>#DIV/0!</v>
      </c>
      <c r="G107" s="27">
        <v>0</v>
      </c>
      <c r="H107" s="28">
        <v>0</v>
      </c>
      <c r="I107" s="34">
        <f t="shared" si="3"/>
        <v>0</v>
      </c>
    </row>
    <row r="108" spans="1:9" ht="12.75">
      <c r="A108" s="8" t="s">
        <v>44</v>
      </c>
      <c r="B108" s="27">
        <v>23178.76</v>
      </c>
      <c r="C108" s="27">
        <v>441.4</v>
      </c>
      <c r="D108" s="27">
        <v>441.4</v>
      </c>
      <c r="E108" s="28">
        <f t="shared" si="4"/>
        <v>1.9043296535276262</v>
      </c>
      <c r="F108" s="28">
        <f t="shared" si="5"/>
        <v>100</v>
      </c>
      <c r="G108" s="27">
        <v>546.84</v>
      </c>
      <c r="H108" s="28">
        <f>$D:$D/$G:$G*100</f>
        <v>80.71830882890791</v>
      </c>
      <c r="I108" s="34">
        <f t="shared" si="3"/>
        <v>441.4</v>
      </c>
    </row>
    <row r="109" spans="1:9" ht="12.75">
      <c r="A109" s="8" t="s">
        <v>45</v>
      </c>
      <c r="B109" s="27">
        <v>220890.36</v>
      </c>
      <c r="C109" s="27">
        <v>6400.64</v>
      </c>
      <c r="D109" s="27">
        <v>5655.8</v>
      </c>
      <c r="E109" s="28">
        <f t="shared" si="4"/>
        <v>2.560455784489645</v>
      </c>
      <c r="F109" s="28">
        <f t="shared" si="5"/>
        <v>88.36303869613037</v>
      </c>
      <c r="G109" s="27">
        <v>3644.5</v>
      </c>
      <c r="H109" s="28">
        <f>$D:$D/$G:$G*100</f>
        <v>155.18726848676087</v>
      </c>
      <c r="I109" s="34">
        <f t="shared" si="3"/>
        <v>5655.8</v>
      </c>
    </row>
    <row r="110" spans="1:9" ht="25.5">
      <c r="A110" s="11" t="s">
        <v>46</v>
      </c>
      <c r="B110" s="33">
        <f>B111+B112</f>
        <v>307721.82</v>
      </c>
      <c r="C110" s="33">
        <f>C111+C112</f>
        <v>5113.9</v>
      </c>
      <c r="D110" s="33">
        <f>D111+D112</f>
        <v>5108.65</v>
      </c>
      <c r="E110" s="25">
        <f t="shared" si="4"/>
        <v>1.6601520165193353</v>
      </c>
      <c r="F110" s="25">
        <f t="shared" si="5"/>
        <v>99.8973386260975</v>
      </c>
      <c r="G110" s="33">
        <v>3397</v>
      </c>
      <c r="H110" s="25">
        <f>$D:$D/$G:$G*100</f>
        <v>150.38710627023843</v>
      </c>
      <c r="I110" s="33">
        <f t="shared" si="3"/>
        <v>5108.65</v>
      </c>
    </row>
    <row r="111" spans="1:9" ht="12.75">
      <c r="A111" s="8" t="s">
        <v>47</v>
      </c>
      <c r="B111" s="27">
        <v>219701.1</v>
      </c>
      <c r="C111" s="27">
        <v>5020.7</v>
      </c>
      <c r="D111" s="27">
        <v>5020.7</v>
      </c>
      <c r="E111" s="28">
        <f t="shared" si="4"/>
        <v>2.285241175396937</v>
      </c>
      <c r="F111" s="28">
        <f t="shared" si="5"/>
        <v>100</v>
      </c>
      <c r="G111" s="27">
        <v>3340</v>
      </c>
      <c r="H111" s="28">
        <f>$D:$D/$G:$G*100</f>
        <v>150.32035928143713</v>
      </c>
      <c r="I111" s="34">
        <f t="shared" si="3"/>
        <v>5020.7</v>
      </c>
    </row>
    <row r="112" spans="1:9" ht="25.5">
      <c r="A112" s="8" t="s">
        <v>48</v>
      </c>
      <c r="B112" s="27">
        <v>88020.72</v>
      </c>
      <c r="C112" s="27">
        <v>93.2</v>
      </c>
      <c r="D112" s="27">
        <v>87.95</v>
      </c>
      <c r="E112" s="28">
        <f t="shared" si="4"/>
        <v>0.09991965528116561</v>
      </c>
      <c r="F112" s="28">
        <f t="shared" si="5"/>
        <v>94.36695278969958</v>
      </c>
      <c r="G112" s="27">
        <v>57</v>
      </c>
      <c r="H112" s="28">
        <v>0</v>
      </c>
      <c r="I112" s="34">
        <f t="shared" si="3"/>
        <v>87.95</v>
      </c>
    </row>
    <row r="113" spans="1:9" ht="12.75">
      <c r="A113" s="11" t="s">
        <v>97</v>
      </c>
      <c r="B113" s="33">
        <f>B114</f>
        <v>127.01</v>
      </c>
      <c r="C113" s="33">
        <f>C114</f>
        <v>0</v>
      </c>
      <c r="D113" s="33">
        <f>D114</f>
        <v>0</v>
      </c>
      <c r="E113" s="25">
        <f t="shared" si="4"/>
        <v>0</v>
      </c>
      <c r="F113" s="25">
        <v>0</v>
      </c>
      <c r="G113" s="33">
        <v>0</v>
      </c>
      <c r="H113" s="25">
        <v>0</v>
      </c>
      <c r="I113" s="34">
        <f t="shared" si="3"/>
        <v>0</v>
      </c>
    </row>
    <row r="114" spans="1:9" ht="12.75">
      <c r="A114" s="8" t="s">
        <v>98</v>
      </c>
      <c r="B114" s="27">
        <v>127.01</v>
      </c>
      <c r="C114" s="27">
        <v>0</v>
      </c>
      <c r="D114" s="27">
        <v>0</v>
      </c>
      <c r="E114" s="28">
        <f t="shared" si="4"/>
        <v>0</v>
      </c>
      <c r="F114" s="28">
        <v>0</v>
      </c>
      <c r="G114" s="34">
        <v>0</v>
      </c>
      <c r="H114" s="28">
        <v>0</v>
      </c>
      <c r="I114" s="34">
        <f t="shared" si="3"/>
        <v>0</v>
      </c>
    </row>
    <row r="115" spans="1:9" ht="12.75">
      <c r="A115" s="11" t="s">
        <v>49</v>
      </c>
      <c r="B115" s="33">
        <f>B116+B117+B118+B119+B120</f>
        <v>157916.22999999998</v>
      </c>
      <c r="C115" s="33">
        <f>C116+C117+C118+C119+C120</f>
        <v>776.78</v>
      </c>
      <c r="D115" s="33">
        <f>D116+D117+D118+D119+D120</f>
        <v>704.29</v>
      </c>
      <c r="E115" s="25">
        <f t="shared" si="4"/>
        <v>0.44598962373911794</v>
      </c>
      <c r="F115" s="25">
        <f>$D:$D/$C:$C*100</f>
        <v>90.66788537294987</v>
      </c>
      <c r="G115" s="33">
        <v>1872.3899999999999</v>
      </c>
      <c r="H115" s="25">
        <v>0</v>
      </c>
      <c r="I115" s="34">
        <f t="shared" si="3"/>
        <v>704.29</v>
      </c>
    </row>
    <row r="116" spans="1:9" ht="12.75">
      <c r="A116" s="8" t="s">
        <v>50</v>
      </c>
      <c r="B116" s="27">
        <v>3025.38</v>
      </c>
      <c r="C116" s="27">
        <v>0</v>
      </c>
      <c r="D116" s="27">
        <v>0</v>
      </c>
      <c r="E116" s="28">
        <f t="shared" si="4"/>
        <v>0</v>
      </c>
      <c r="F116" s="28">
        <v>0</v>
      </c>
      <c r="G116" s="34">
        <v>0</v>
      </c>
      <c r="H116" s="28">
        <v>0</v>
      </c>
      <c r="I116" s="34">
        <f t="shared" si="3"/>
        <v>0</v>
      </c>
    </row>
    <row r="117" spans="1:9" ht="12.75" customHeight="1" hidden="1">
      <c r="A117" s="8" t="s">
        <v>51</v>
      </c>
      <c r="B117" s="27"/>
      <c r="C117" s="27"/>
      <c r="D117" s="27"/>
      <c r="E117" s="28" t="e">
        <f t="shared" si="4"/>
        <v>#DIV/0!</v>
      </c>
      <c r="F117" s="28" t="e">
        <f>$D:$D/$C:$C*100</f>
        <v>#DIV/0!</v>
      </c>
      <c r="G117" s="34"/>
      <c r="H117" s="28" t="e">
        <f>$D:$D/$G:$G*100</f>
        <v>#DIV/0!</v>
      </c>
      <c r="I117" s="34">
        <f t="shared" si="3"/>
        <v>0</v>
      </c>
    </row>
    <row r="118" spans="1:9" ht="12.75">
      <c r="A118" s="8" t="s">
        <v>52</v>
      </c>
      <c r="B118" s="27">
        <v>102910.55</v>
      </c>
      <c r="C118" s="27">
        <v>357</v>
      </c>
      <c r="D118" s="27">
        <v>357</v>
      </c>
      <c r="E118" s="28">
        <f t="shared" si="4"/>
        <v>0.3469032086603365</v>
      </c>
      <c r="F118" s="28">
        <f>$D:$D/$C:$C*100</f>
        <v>100</v>
      </c>
      <c r="G118" s="27">
        <v>1587</v>
      </c>
      <c r="H118" s="28">
        <v>0</v>
      </c>
      <c r="I118" s="34">
        <f t="shared" si="3"/>
        <v>357</v>
      </c>
    </row>
    <row r="119" spans="1:9" ht="12.75">
      <c r="A119" s="8" t="s">
        <v>53</v>
      </c>
      <c r="B119" s="27">
        <v>49450.5</v>
      </c>
      <c r="C119" s="27">
        <v>315</v>
      </c>
      <c r="D119" s="27">
        <v>310</v>
      </c>
      <c r="E119" s="28">
        <f t="shared" si="4"/>
        <v>0.6268895157784047</v>
      </c>
      <c r="F119" s="28">
        <v>0</v>
      </c>
      <c r="G119" s="27">
        <v>255.39</v>
      </c>
      <c r="H119" s="28">
        <v>0</v>
      </c>
      <c r="I119" s="34">
        <f t="shared" si="3"/>
        <v>310</v>
      </c>
    </row>
    <row r="120" spans="1:9" ht="12.75">
      <c r="A120" s="8" t="s">
        <v>54</v>
      </c>
      <c r="B120" s="27">
        <v>2529.8</v>
      </c>
      <c r="C120" s="27">
        <v>104.78</v>
      </c>
      <c r="D120" s="27">
        <v>37.29</v>
      </c>
      <c r="E120" s="28">
        <f t="shared" si="4"/>
        <v>1.4740295675547472</v>
      </c>
      <c r="F120" s="28">
        <f>$D:$D/$C:$C*100</f>
        <v>35.588852834510405</v>
      </c>
      <c r="G120" s="27">
        <v>30</v>
      </c>
      <c r="H120" s="28">
        <f>$D:$D/$G:$G*100</f>
        <v>124.29999999999998</v>
      </c>
      <c r="I120" s="34">
        <f t="shared" si="3"/>
        <v>37.29</v>
      </c>
    </row>
    <row r="121" spans="1:9" ht="12.75">
      <c r="A121" s="11" t="s">
        <v>61</v>
      </c>
      <c r="B121" s="26">
        <f>B122+B123+B124</f>
        <v>351568.69</v>
      </c>
      <c r="C121" s="27">
        <f>C122+C123+C124</f>
        <v>5499.139999999999</v>
      </c>
      <c r="D121" s="27">
        <f>D122+D123+D124</f>
        <v>5375.37</v>
      </c>
      <c r="E121" s="25">
        <f t="shared" si="4"/>
        <v>1.5289672126377352</v>
      </c>
      <c r="F121" s="25">
        <f>$D:$D/$C:$C*100</f>
        <v>97.74928443356599</v>
      </c>
      <c r="G121" s="27">
        <v>3852.2200000000003</v>
      </c>
      <c r="H121" s="25">
        <f>$D:$D/$G:$G*100</f>
        <v>139.53953824028738</v>
      </c>
      <c r="I121" s="34">
        <f t="shared" si="3"/>
        <v>5375.37</v>
      </c>
    </row>
    <row r="122" spans="1:9" ht="12.75">
      <c r="A122" s="82" t="s">
        <v>63</v>
      </c>
      <c r="B122" s="27">
        <v>290769.31</v>
      </c>
      <c r="C122" s="27">
        <v>3278.66</v>
      </c>
      <c r="D122" s="27">
        <v>3278.66</v>
      </c>
      <c r="E122" s="28">
        <f t="shared" si="4"/>
        <v>1.1275811742305266</v>
      </c>
      <c r="F122" s="28">
        <f>$D:$D/$C:$C*100</f>
        <v>100</v>
      </c>
      <c r="G122" s="27">
        <v>3680.44</v>
      </c>
      <c r="H122" s="28">
        <v>0</v>
      </c>
      <c r="I122" s="34">
        <f t="shared" si="3"/>
        <v>3278.66</v>
      </c>
    </row>
    <row r="123" spans="1:9" ht="24.75" customHeight="1">
      <c r="A123" s="82" t="s">
        <v>154</v>
      </c>
      <c r="B123" s="27">
        <v>55775.05</v>
      </c>
      <c r="C123" s="27">
        <v>1839.46</v>
      </c>
      <c r="D123" s="27">
        <v>1839.46</v>
      </c>
      <c r="E123" s="28">
        <v>0</v>
      </c>
      <c r="F123" s="28">
        <v>0</v>
      </c>
      <c r="G123" s="27">
        <v>91</v>
      </c>
      <c r="H123" s="28">
        <v>0</v>
      </c>
      <c r="I123" s="34">
        <f t="shared" si="3"/>
        <v>1839.46</v>
      </c>
    </row>
    <row r="124" spans="1:9" ht="25.5">
      <c r="A124" s="12" t="s">
        <v>73</v>
      </c>
      <c r="B124" s="27">
        <v>5024.33</v>
      </c>
      <c r="C124" s="27">
        <v>381.02</v>
      </c>
      <c r="D124" s="27">
        <v>257.25</v>
      </c>
      <c r="E124" s="28">
        <f>$D:$D/$B:$B*100</f>
        <v>5.1200856631630485</v>
      </c>
      <c r="F124" s="28">
        <f>$D:$D/$C:$C*100</f>
        <v>67.51614088499292</v>
      </c>
      <c r="G124" s="27">
        <v>80.78</v>
      </c>
      <c r="H124" s="28">
        <v>0</v>
      </c>
      <c r="I124" s="34">
        <f t="shared" si="3"/>
        <v>257.25</v>
      </c>
    </row>
    <row r="125" spans="1:9" ht="26.25" customHeight="1">
      <c r="A125" s="13" t="s">
        <v>80</v>
      </c>
      <c r="B125" s="26">
        <f>B126</f>
        <v>100</v>
      </c>
      <c r="C125" s="26">
        <f>C126</f>
        <v>0</v>
      </c>
      <c r="D125" s="26">
        <f>D126</f>
        <v>0</v>
      </c>
      <c r="E125" s="28">
        <f>$D:$D/$B:$B*100</f>
        <v>0</v>
      </c>
      <c r="F125" s="28">
        <v>0</v>
      </c>
      <c r="G125" s="26">
        <v>0</v>
      </c>
      <c r="H125" s="28">
        <v>0</v>
      </c>
      <c r="I125" s="34">
        <f t="shared" si="3"/>
        <v>0</v>
      </c>
    </row>
    <row r="126" spans="1:9" ht="13.5" customHeight="1">
      <c r="A126" s="12" t="s">
        <v>81</v>
      </c>
      <c r="B126" s="27">
        <v>100</v>
      </c>
      <c r="C126" s="27">
        <v>0</v>
      </c>
      <c r="D126" s="27">
        <v>0</v>
      </c>
      <c r="E126" s="28">
        <f>$D:$D/$B:$B*100</f>
        <v>0</v>
      </c>
      <c r="F126" s="28">
        <v>0</v>
      </c>
      <c r="G126" s="27">
        <v>0</v>
      </c>
      <c r="H126" s="28">
        <v>0</v>
      </c>
      <c r="I126" s="34">
        <f t="shared" si="3"/>
        <v>0</v>
      </c>
    </row>
    <row r="127" spans="1:9" ht="15.75" customHeight="1">
      <c r="A127" s="14" t="s">
        <v>55</v>
      </c>
      <c r="B127" s="33">
        <f>B79+B88+B89+B90+B96+B103+B110+B113+B115+B121+B125+B101</f>
        <v>3657751.9699999997</v>
      </c>
      <c r="C127" s="33">
        <f>C79+C88+C89+C90+C96+C103+C110+C113+C115+C121+C125+C101</f>
        <v>81247.70999999999</v>
      </c>
      <c r="D127" s="33">
        <f>D79+D88+D89+D90+D96+D103+D110+D113+D115+D121+D125+D101</f>
        <v>74919.05999999998</v>
      </c>
      <c r="E127" s="25">
        <f>$D:$D/$B:$B*100</f>
        <v>2.0482269058828497</v>
      </c>
      <c r="F127" s="25">
        <f>$D:$D/$C:$C*100</f>
        <v>92.21067276850017</v>
      </c>
      <c r="G127" s="33">
        <v>60157.77</v>
      </c>
      <c r="H127" s="25">
        <f>$D:$D/$G:$G*100</f>
        <v>124.53762830636839</v>
      </c>
      <c r="I127" s="33">
        <f>I79+I88+I89+I90+I96+I103+I110+I113+I115+I121+I125</f>
        <v>74966.49999999999</v>
      </c>
    </row>
    <row r="128" spans="1:9" ht="26.25" customHeight="1">
      <c r="A128" s="79" t="s">
        <v>56</v>
      </c>
      <c r="B128" s="80">
        <f>B73-B127</f>
        <v>-125350.25999999978</v>
      </c>
      <c r="C128" s="80">
        <f>C73-C127</f>
        <v>-41683.89</v>
      </c>
      <c r="D128" s="80">
        <f>D73-D127</f>
        <v>-29569.47999999998</v>
      </c>
      <c r="E128" s="80"/>
      <c r="F128" s="80"/>
      <c r="G128" s="80">
        <v>640.2067800000077</v>
      </c>
      <c r="H128" s="80"/>
      <c r="I128" s="80">
        <f>I73-I127</f>
        <v>-29616.919999999984</v>
      </c>
    </row>
    <row r="129" spans="1:9" ht="24" customHeight="1">
      <c r="A129" s="1" t="s">
        <v>57</v>
      </c>
      <c r="B129" s="27" t="s">
        <v>159</v>
      </c>
      <c r="C129" s="27"/>
      <c r="D129" s="27" t="s">
        <v>157</v>
      </c>
      <c r="E129" s="27"/>
      <c r="F129" s="27"/>
      <c r="G129" s="27" t="s">
        <v>161</v>
      </c>
      <c r="H129" s="26"/>
      <c r="I129" s="27"/>
    </row>
    <row r="130" spans="1:9" ht="12.75">
      <c r="A130" s="3" t="s">
        <v>58</v>
      </c>
      <c r="B130" s="77">
        <f>B132+B133</f>
        <v>99223.6</v>
      </c>
      <c r="C130" s="77">
        <f>C132+C133</f>
        <v>0</v>
      </c>
      <c r="D130" s="77">
        <f>D132+D133</f>
        <v>69654.1</v>
      </c>
      <c r="E130" s="27"/>
      <c r="F130" s="27"/>
      <c r="G130" s="26">
        <v>43511.9</v>
      </c>
      <c r="H130" s="35"/>
      <c r="I130" s="26">
        <f>I132+I133</f>
        <v>69654.1</v>
      </c>
    </row>
    <row r="131" spans="1:9" ht="12" customHeight="1">
      <c r="A131" s="1" t="s">
        <v>6</v>
      </c>
      <c r="B131" s="78"/>
      <c r="C131" s="27"/>
      <c r="D131" s="27"/>
      <c r="E131" s="27"/>
      <c r="F131" s="27"/>
      <c r="G131" s="27"/>
      <c r="H131" s="35"/>
      <c r="I131" s="27"/>
    </row>
    <row r="132" spans="1:9" ht="12.75">
      <c r="A132" s="5" t="s">
        <v>59</v>
      </c>
      <c r="B132" s="78">
        <v>53815.7</v>
      </c>
      <c r="C132" s="27"/>
      <c r="D132" s="27">
        <v>686.9</v>
      </c>
      <c r="E132" s="27"/>
      <c r="F132" s="27"/>
      <c r="G132" s="27">
        <v>814.3</v>
      </c>
      <c r="H132" s="35"/>
      <c r="I132" s="27">
        <f>D132</f>
        <v>686.9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69654.1-D132</f>
        <v>68967.20000000001</v>
      </c>
      <c r="E133" s="27"/>
      <c r="F133" s="27"/>
      <c r="G133" s="27">
        <v>42697.6</v>
      </c>
      <c r="H133" s="35"/>
      <c r="I133" s="27">
        <f>D133</f>
        <v>68967.20000000001</v>
      </c>
    </row>
    <row r="134" spans="1:9" ht="12.75">
      <c r="A134" s="3" t="s">
        <v>99</v>
      </c>
      <c r="B134" s="26">
        <f>B135-B136</f>
        <v>22950</v>
      </c>
      <c r="C134" s="26">
        <f>C135-C136</f>
        <v>0</v>
      </c>
      <c r="D134" s="26">
        <f>D135-D136</f>
        <v>0</v>
      </c>
      <c r="E134" s="26"/>
      <c r="F134" s="26"/>
      <c r="G134" s="26">
        <v>0</v>
      </c>
      <c r="H134" s="81"/>
      <c r="I134" s="26"/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27"/>
      <c r="F135" s="27"/>
      <c r="G135" s="27">
        <v>0</v>
      </c>
      <c r="H135" s="35"/>
      <c r="I135" s="27">
        <v>0</v>
      </c>
    </row>
    <row r="136" spans="1:9" ht="12.75">
      <c r="A136" s="2" t="s">
        <v>101</v>
      </c>
      <c r="B136" s="27">
        <v>12050</v>
      </c>
      <c r="C136" s="27">
        <v>0</v>
      </c>
      <c r="D136" s="27">
        <v>0</v>
      </c>
      <c r="E136" s="27"/>
      <c r="F136" s="27"/>
      <c r="G136" s="27">
        <v>0</v>
      </c>
      <c r="H136" s="35"/>
      <c r="I136" s="27">
        <v>0</v>
      </c>
    </row>
    <row r="137" spans="1:9" ht="12.75">
      <c r="A137" s="15"/>
      <c r="B137" s="24"/>
      <c r="C137" s="24"/>
      <c r="D137" s="24"/>
      <c r="E137" s="24"/>
      <c r="F137" s="24"/>
      <c r="G137" s="24"/>
      <c r="H137" s="24"/>
      <c r="I137" s="24"/>
    </row>
    <row r="139" ht="12" customHeight="1">
      <c r="A139" s="21" t="s">
        <v>79</v>
      </c>
    </row>
    <row r="140" ht="12.75" customHeight="1" hidden="1"/>
    <row r="142" spans="1:9" ht="31.5">
      <c r="A142" s="16" t="s">
        <v>103</v>
      </c>
      <c r="B142" s="23"/>
      <c r="C142" s="23"/>
      <c r="D142" s="23" t="s">
        <v>137</v>
      </c>
      <c r="E142" s="23"/>
      <c r="F142" s="23"/>
      <c r="G142" s="23"/>
      <c r="H142" s="23"/>
      <c r="I142" s="24"/>
    </row>
  </sheetData>
  <sheetProtection/>
  <mergeCells count="5">
    <mergeCell ref="A78:I78"/>
    <mergeCell ref="A1:H1"/>
    <mergeCell ref="A2:H2"/>
    <mergeCell ref="A3:H3"/>
    <mergeCell ref="A6:I6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A1">
      <pane xSplit="1" ySplit="6" topLeftCell="B1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1" sqref="D131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05" t="s">
        <v>102</v>
      </c>
      <c r="B1" s="105"/>
      <c r="C1" s="105"/>
      <c r="D1" s="105"/>
      <c r="E1" s="105"/>
      <c r="F1" s="105"/>
      <c r="G1" s="105"/>
      <c r="H1" s="105"/>
      <c r="I1" s="29"/>
    </row>
    <row r="2" spans="1:9" ht="15">
      <c r="A2" s="106" t="s">
        <v>153</v>
      </c>
      <c r="B2" s="106"/>
      <c r="C2" s="106"/>
      <c r="D2" s="106"/>
      <c r="E2" s="106"/>
      <c r="F2" s="106"/>
      <c r="G2" s="106"/>
      <c r="H2" s="106"/>
      <c r="I2" s="30"/>
    </row>
    <row r="3" spans="1:9" ht="5.25" customHeight="1" hidden="1">
      <c r="A3" s="107" t="s">
        <v>0</v>
      </c>
      <c r="B3" s="107"/>
      <c r="C3" s="107"/>
      <c r="D3" s="107"/>
      <c r="E3" s="107"/>
      <c r="F3" s="107"/>
      <c r="G3" s="107"/>
      <c r="H3" s="107"/>
      <c r="I3" s="31"/>
    </row>
    <row r="4" spans="1:9" ht="45" customHeight="1">
      <c r="A4" s="4" t="s">
        <v>1</v>
      </c>
      <c r="B4" s="17" t="s">
        <v>2</v>
      </c>
      <c r="C4" s="17" t="s">
        <v>151</v>
      </c>
      <c r="D4" s="17" t="s">
        <v>68</v>
      </c>
      <c r="E4" s="17" t="s">
        <v>66</v>
      </c>
      <c r="F4" s="17" t="s">
        <v>69</v>
      </c>
      <c r="G4" s="17" t="s">
        <v>156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08" t="s">
        <v>3</v>
      </c>
      <c r="B6" s="109"/>
      <c r="C6" s="109"/>
      <c r="D6" s="109"/>
      <c r="E6" s="109"/>
      <c r="F6" s="109"/>
      <c r="G6" s="109"/>
      <c r="H6" s="109"/>
      <c r="I6" s="110"/>
    </row>
    <row r="7" spans="1:9" ht="12.75">
      <c r="A7" s="46" t="s">
        <v>104</v>
      </c>
      <c r="B7" s="33">
        <f>B8+B16+B21+B26+B29+B37+B46+B47+B48+B52+B63</f>
        <v>718032.66</v>
      </c>
      <c r="C7" s="33">
        <f>C8+C16+C21+C26+C29+C37+C46+C47+C48+C52+C63</f>
        <v>53136.369999999995</v>
      </c>
      <c r="D7" s="33">
        <f>D8+D16+D21+D26+D29+D37+D46+D47+D48+D52+D63+D36</f>
        <v>27281.94</v>
      </c>
      <c r="E7" s="25">
        <f>D7/B7*100</f>
        <v>3.799540260466703</v>
      </c>
      <c r="F7" s="25">
        <v>27699.089999999997</v>
      </c>
      <c r="G7" s="33">
        <f>G8+G16+G21+G26+G29</f>
        <v>30541.34192</v>
      </c>
      <c r="H7" s="25">
        <f>C7/G7*100</f>
        <v>173.98177899054147</v>
      </c>
      <c r="I7" s="33">
        <f>D7-Январь!D7</f>
        <v>1408.8400000000038</v>
      </c>
    </row>
    <row r="8" spans="1:9" ht="12.75">
      <c r="A8" s="47" t="s">
        <v>4</v>
      </c>
      <c r="B8" s="25">
        <f>B9+B10</f>
        <v>365325.60000000003</v>
      </c>
      <c r="C8" s="25">
        <f>C9+C10</f>
        <v>26555</v>
      </c>
      <c r="D8" s="25">
        <f>D9+D10</f>
        <v>16037.699999999999</v>
      </c>
      <c r="E8" s="25">
        <f aca="true" t="shared" si="0" ref="E8:E72">D8/B8*100</f>
        <v>4.38997431332488</v>
      </c>
      <c r="F8" s="25">
        <v>10645.39</v>
      </c>
      <c r="G8" s="25">
        <f>G9+G10</f>
        <v>16918.55102</v>
      </c>
      <c r="H8" s="25">
        <f aca="true" t="shared" si="1" ref="H8:H72">C8/G8*100</f>
        <v>156.95788586509815</v>
      </c>
      <c r="I8" s="33">
        <f>D8-Январь!D8</f>
        <v>-2660.620000000001</v>
      </c>
    </row>
    <row r="9" spans="1:9" ht="25.5">
      <c r="A9" s="48" t="s">
        <v>5</v>
      </c>
      <c r="B9" s="27">
        <v>8631</v>
      </c>
      <c r="C9" s="27">
        <v>550</v>
      </c>
      <c r="D9" s="27">
        <v>390.19</v>
      </c>
      <c r="E9" s="27">
        <f t="shared" si="0"/>
        <v>4.520797126636543</v>
      </c>
      <c r="F9" s="25">
        <v>200.86</v>
      </c>
      <c r="G9" s="27">
        <f>506536.75/1000</f>
        <v>506.53675</v>
      </c>
      <c r="H9" s="25">
        <f t="shared" si="1"/>
        <v>108.58047318383119</v>
      </c>
      <c r="I9" s="33">
        <f>D9-Январь!D9</f>
        <v>-150.05</v>
      </c>
    </row>
    <row r="10" spans="1:9" ht="12.75" customHeight="1">
      <c r="A10" s="49" t="s">
        <v>70</v>
      </c>
      <c r="B10" s="42">
        <f>SUM(B11:B15)</f>
        <v>356694.60000000003</v>
      </c>
      <c r="C10" s="42">
        <f>SUM(C11:C15)</f>
        <v>26005</v>
      </c>
      <c r="D10" s="42">
        <f>SUM(D11:D15)</f>
        <v>15647.509999999998</v>
      </c>
      <c r="E10" s="25">
        <f t="shared" si="0"/>
        <v>4.38680877142519</v>
      </c>
      <c r="F10" s="25">
        <v>10444.529999999999</v>
      </c>
      <c r="G10" s="42">
        <f>SUM(G11:G15)</f>
        <v>16412.01427</v>
      </c>
      <c r="H10" s="25">
        <f t="shared" si="1"/>
        <v>158.45099554620361</v>
      </c>
      <c r="I10" s="33">
        <f>D10-Январь!D10</f>
        <v>-2510.5699999999997</v>
      </c>
    </row>
    <row r="11" spans="1:9" ht="51">
      <c r="A11" s="51" t="s">
        <v>74</v>
      </c>
      <c r="B11" s="27">
        <v>336860.2</v>
      </c>
      <c r="C11" s="27">
        <v>23000</v>
      </c>
      <c r="D11" s="27">
        <v>15536.5</v>
      </c>
      <c r="E11" s="27">
        <f t="shared" si="0"/>
        <v>4.612150678530737</v>
      </c>
      <c r="F11" s="27">
        <v>10058</v>
      </c>
      <c r="G11" s="27">
        <f>10829327.5/1000</f>
        <v>10829.3275</v>
      </c>
      <c r="H11" s="25">
        <f t="shared" si="1"/>
        <v>212.38622619918</v>
      </c>
      <c r="I11" s="33">
        <f>D11-Январь!D11</f>
        <v>-2843.8600000000006</v>
      </c>
    </row>
    <row r="12" spans="1:9" ht="51" customHeight="1">
      <c r="A12" s="51" t="s">
        <v>75</v>
      </c>
      <c r="B12" s="27">
        <v>1745</v>
      </c>
      <c r="C12" s="27">
        <v>45</v>
      </c>
      <c r="D12" s="27">
        <v>-213.27</v>
      </c>
      <c r="E12" s="27">
        <f t="shared" si="0"/>
        <v>-12.221776504297994</v>
      </c>
      <c r="F12" s="27">
        <v>81.56</v>
      </c>
      <c r="G12" s="27">
        <f>71132.83/1000</f>
        <v>71.13283</v>
      </c>
      <c r="H12" s="25">
        <f t="shared" si="1"/>
        <v>63.26192842320487</v>
      </c>
      <c r="I12" s="33">
        <f>D12-Январь!D12</f>
        <v>-7.780000000000001</v>
      </c>
    </row>
    <row r="13" spans="1:9" ht="25.5">
      <c r="A13" s="51" t="s">
        <v>76</v>
      </c>
      <c r="B13" s="27">
        <v>5600.4</v>
      </c>
      <c r="C13" s="27">
        <v>530</v>
      </c>
      <c r="D13" s="27">
        <v>-181.79</v>
      </c>
      <c r="E13" s="27">
        <f t="shared" si="0"/>
        <v>-3.246018141561317</v>
      </c>
      <c r="F13" s="27">
        <v>117.15</v>
      </c>
      <c r="G13" s="27">
        <f>62006.21/1000</f>
        <v>62.006209999999996</v>
      </c>
      <c r="H13" s="25">
        <f t="shared" si="1"/>
        <v>854.7530965043663</v>
      </c>
      <c r="I13" s="33">
        <f>D13-Январь!D13</f>
        <v>73.18</v>
      </c>
    </row>
    <row r="14" spans="1:9" ht="63.75">
      <c r="A14" s="51" t="s">
        <v>78</v>
      </c>
      <c r="B14" s="27">
        <v>3850</v>
      </c>
      <c r="C14" s="27">
        <v>430</v>
      </c>
      <c r="D14" s="27">
        <v>462.49</v>
      </c>
      <c r="E14" s="27">
        <f t="shared" si="0"/>
        <v>12.012727272727274</v>
      </c>
      <c r="F14" s="27">
        <v>187.82</v>
      </c>
      <c r="G14" s="27">
        <f>203387.85/1000</f>
        <v>203.38785000000001</v>
      </c>
      <c r="H14" s="25">
        <f t="shared" si="1"/>
        <v>211.41872535650478</v>
      </c>
      <c r="I14" s="33">
        <f>D14-Январь!D14</f>
        <v>282.46000000000004</v>
      </c>
    </row>
    <row r="15" spans="1:9" ht="37.5" customHeight="1">
      <c r="A15" s="51" t="s">
        <v>145</v>
      </c>
      <c r="B15" s="27">
        <v>8639</v>
      </c>
      <c r="C15" s="27">
        <v>2000</v>
      </c>
      <c r="D15" s="27">
        <f>-14.92+58.5</f>
        <v>43.58</v>
      </c>
      <c r="E15" s="27">
        <f t="shared" si="0"/>
        <v>0.5044565343211019</v>
      </c>
      <c r="F15" s="27"/>
      <c r="G15" s="27">
        <f>5246159.88/1000</f>
        <v>5246.15988</v>
      </c>
      <c r="H15" s="25">
        <f t="shared" si="1"/>
        <v>38.123123308243514</v>
      </c>
      <c r="I15" s="33">
        <f>D15-Январь!D15</f>
        <v>-14.57</v>
      </c>
    </row>
    <row r="16" spans="1:9" ht="39.75" customHeight="1">
      <c r="A16" s="53" t="s">
        <v>82</v>
      </c>
      <c r="B16" s="26">
        <f>SUM(B17:B20)</f>
        <v>59089.46000000001</v>
      </c>
      <c r="C16" s="26">
        <f>SUM(C17:C20)</f>
        <v>3360</v>
      </c>
      <c r="D16" s="26">
        <f>SUM(D17:D20)</f>
        <v>7512.55</v>
      </c>
      <c r="E16" s="25">
        <f t="shared" si="0"/>
        <v>12.713857936762324</v>
      </c>
      <c r="F16" s="25">
        <v>1853.18</v>
      </c>
      <c r="G16" s="26">
        <f>SUM(G17:G20)</f>
        <v>5206.58843</v>
      </c>
      <c r="H16" s="25">
        <f t="shared" si="1"/>
        <v>64.53362014634985</v>
      </c>
      <c r="I16" s="33">
        <f>D16-Январь!D16</f>
        <v>4973.26</v>
      </c>
    </row>
    <row r="17" spans="1:9" ht="37.5" customHeight="1">
      <c r="A17" s="37" t="s">
        <v>83</v>
      </c>
      <c r="B17" s="27">
        <v>27987.73</v>
      </c>
      <c r="C17" s="27">
        <v>1545</v>
      </c>
      <c r="D17" s="27">
        <v>3910.14</v>
      </c>
      <c r="E17" s="27">
        <f t="shared" si="0"/>
        <v>13.9709079657407</v>
      </c>
      <c r="F17" s="27">
        <v>844.23</v>
      </c>
      <c r="G17" s="27">
        <f>2392168.44/1000</f>
        <v>2392.16844</v>
      </c>
      <c r="H17" s="25">
        <f t="shared" si="1"/>
        <v>64.58575299990163</v>
      </c>
      <c r="I17" s="33">
        <f>D17-Январь!D17</f>
        <v>2806.4399999999996</v>
      </c>
    </row>
    <row r="18" spans="1:9" ht="56.25" customHeight="1">
      <c r="A18" s="37" t="s">
        <v>84</v>
      </c>
      <c r="B18" s="27">
        <v>194.4</v>
      </c>
      <c r="C18" s="27">
        <v>15</v>
      </c>
      <c r="D18" s="27">
        <v>14.11</v>
      </c>
      <c r="E18" s="27">
        <f t="shared" si="0"/>
        <v>7.258230452674896</v>
      </c>
      <c r="F18" s="27">
        <v>5.74</v>
      </c>
      <c r="G18" s="27">
        <f>14077.8/1000</f>
        <v>14.0778</v>
      </c>
      <c r="H18" s="25">
        <f t="shared" si="1"/>
        <v>106.55073946213187</v>
      </c>
      <c r="I18" s="33">
        <f>D18-Январь!D18</f>
        <v>11.73</v>
      </c>
    </row>
    <row r="19" spans="1:9" ht="55.5" customHeight="1">
      <c r="A19" s="37" t="s">
        <v>85</v>
      </c>
      <c r="B19" s="27">
        <v>34598.53</v>
      </c>
      <c r="C19" s="27">
        <v>2050</v>
      </c>
      <c r="D19" s="27">
        <v>3983.35</v>
      </c>
      <c r="E19" s="27">
        <f t="shared" si="0"/>
        <v>11.513061393070746</v>
      </c>
      <c r="F19" s="27">
        <v>1158.41</v>
      </c>
      <c r="G19" s="27">
        <f>2959715.18/1000</f>
        <v>2959.71518</v>
      </c>
      <c r="H19" s="25">
        <f t="shared" si="1"/>
        <v>69.26342148909072</v>
      </c>
      <c r="I19" s="33">
        <f>D19-Январь!D19</f>
        <v>2419</v>
      </c>
    </row>
    <row r="20" spans="1:9" ht="15.75" customHeight="1">
      <c r="A20" s="37" t="s">
        <v>86</v>
      </c>
      <c r="B20" s="27">
        <v>-3691.2</v>
      </c>
      <c r="C20" s="27">
        <v>-250</v>
      </c>
      <c r="D20" s="27">
        <v>-395.05</v>
      </c>
      <c r="E20" s="27">
        <f t="shared" si="0"/>
        <v>10.702481577806676</v>
      </c>
      <c r="F20" s="27">
        <v>-155.2</v>
      </c>
      <c r="G20" s="27">
        <f>-159372.99/1000</f>
        <v>-159.37299</v>
      </c>
      <c r="H20" s="25">
        <f t="shared" si="1"/>
        <v>156.8647234390219</v>
      </c>
      <c r="I20" s="33">
        <f>D20-Январь!D20</f>
        <v>-263.91</v>
      </c>
    </row>
    <row r="21" spans="1:9" ht="12.75">
      <c r="A21" s="54" t="s">
        <v>7</v>
      </c>
      <c r="B21" s="26">
        <f>SUM(B22:B25)</f>
        <v>148961.30000000002</v>
      </c>
      <c r="C21" s="26">
        <f>SUM(C22:C25)</f>
        <v>9000</v>
      </c>
      <c r="D21" s="26">
        <f>SUM(D22:D25)</f>
        <v>-2865.5</v>
      </c>
      <c r="E21" s="25">
        <f t="shared" si="0"/>
        <v>-1.9236539960378969</v>
      </c>
      <c r="F21" s="25">
        <v>7362.96</v>
      </c>
      <c r="G21" s="26">
        <f>SUM(G22:G25)</f>
        <v>5984.851520000002</v>
      </c>
      <c r="H21" s="25">
        <f t="shared" si="1"/>
        <v>150.37967057201107</v>
      </c>
      <c r="I21" s="33">
        <f>D21-Январь!D21</f>
        <v>-5816.04</v>
      </c>
    </row>
    <row r="22" spans="1:9" ht="28.5" customHeight="1">
      <c r="A22" s="51" t="s">
        <v>146</v>
      </c>
      <c r="B22" s="27">
        <v>116885.1</v>
      </c>
      <c r="C22" s="27">
        <v>7300</v>
      </c>
      <c r="D22" s="27">
        <v>-539.57</v>
      </c>
      <c r="E22" s="27">
        <f t="shared" si="0"/>
        <v>-0.46162427888584606</v>
      </c>
      <c r="F22" s="27"/>
      <c r="G22" s="27">
        <f>4635050.98/1000</f>
        <v>4635.050980000001</v>
      </c>
      <c r="H22" s="25">
        <f t="shared" si="1"/>
        <v>157.4955708469899</v>
      </c>
      <c r="I22" s="33">
        <f>D22-Январь!D22</f>
        <v>-2817.5800000000004</v>
      </c>
    </row>
    <row r="23" spans="1:9" ht="19.5" customHeight="1">
      <c r="A23" s="51" t="s">
        <v>89</v>
      </c>
      <c r="B23" s="27">
        <v>0</v>
      </c>
      <c r="C23" s="27">
        <v>0</v>
      </c>
      <c r="D23" s="27">
        <v>-798.56</v>
      </c>
      <c r="E23" s="27" t="s">
        <v>148</v>
      </c>
      <c r="F23" s="27">
        <v>7198.75</v>
      </c>
      <c r="G23" s="27">
        <f>35866.93/1000</f>
        <v>35.86693</v>
      </c>
      <c r="H23" s="25">
        <f t="shared" si="1"/>
        <v>0</v>
      </c>
      <c r="I23" s="33">
        <f>D23-Январь!D23</f>
        <v>-5.92999999999995</v>
      </c>
    </row>
    <row r="24" spans="1:9" ht="15" customHeight="1">
      <c r="A24" s="51" t="s">
        <v>87</v>
      </c>
      <c r="B24" s="27">
        <v>715</v>
      </c>
      <c r="C24" s="27">
        <v>0</v>
      </c>
      <c r="D24" s="27">
        <v>-0.23</v>
      </c>
      <c r="E24" s="27">
        <f t="shared" si="0"/>
        <v>-0.032167832167832165</v>
      </c>
      <c r="F24" s="27">
        <v>113.58</v>
      </c>
      <c r="G24" s="27">
        <f>127520/1000</f>
        <v>127.52</v>
      </c>
      <c r="H24" s="25">
        <f t="shared" si="1"/>
        <v>0</v>
      </c>
      <c r="I24" s="33">
        <f>D24-Январь!D24</f>
        <v>-0.23</v>
      </c>
    </row>
    <row r="25" spans="1:9" ht="27" customHeight="1">
      <c r="A25" s="51" t="s">
        <v>88</v>
      </c>
      <c r="B25" s="27">
        <v>31361.2</v>
      </c>
      <c r="C25" s="27">
        <v>1700</v>
      </c>
      <c r="D25" s="27">
        <v>-1527.14</v>
      </c>
      <c r="E25" s="27">
        <f t="shared" si="0"/>
        <v>-4.869520298968152</v>
      </c>
      <c r="F25" s="27">
        <v>50.63</v>
      </c>
      <c r="G25" s="27">
        <f>1186413.61/1000</f>
        <v>1186.41361</v>
      </c>
      <c r="H25" s="25">
        <f t="shared" si="1"/>
        <v>143.28898334198982</v>
      </c>
      <c r="I25" s="33">
        <f>D25-Январь!D25</f>
        <v>-2992.3</v>
      </c>
    </row>
    <row r="26" spans="1:9" ht="12.75">
      <c r="A26" s="54" t="s">
        <v>8</v>
      </c>
      <c r="B26" s="26">
        <f>SUM(B27:B28)</f>
        <v>42454.6</v>
      </c>
      <c r="C26" s="26">
        <f>SUM(C27:C28)</f>
        <v>2150</v>
      </c>
      <c r="D26" s="26">
        <f>SUM(D27:D28)</f>
        <v>1023.62</v>
      </c>
      <c r="E26" s="25">
        <f t="shared" si="0"/>
        <v>2.4110932619786785</v>
      </c>
      <c r="F26" s="25">
        <v>2465.82</v>
      </c>
      <c r="G26" s="26">
        <f>SUM(G27:G28)</f>
        <v>1404.8256999999999</v>
      </c>
      <c r="H26" s="25">
        <f t="shared" si="1"/>
        <v>153.04389718952325</v>
      </c>
      <c r="I26" s="33">
        <f>D26-Январь!D26</f>
        <v>-406.80999999999983</v>
      </c>
    </row>
    <row r="27" spans="1:9" ht="12.75">
      <c r="A27" s="51" t="s">
        <v>106</v>
      </c>
      <c r="B27" s="27">
        <v>24668.5</v>
      </c>
      <c r="C27" s="27">
        <v>1050</v>
      </c>
      <c r="D27" s="27">
        <v>783.83</v>
      </c>
      <c r="E27" s="27">
        <f t="shared" si="0"/>
        <v>3.1774530271398747</v>
      </c>
      <c r="F27" s="27">
        <v>536.1</v>
      </c>
      <c r="G27" s="27">
        <f>777295.01/1000</f>
        <v>777.29501</v>
      </c>
      <c r="H27" s="25">
        <f t="shared" si="1"/>
        <v>135.08384673664636</v>
      </c>
      <c r="I27" s="33">
        <f>D27-Январь!D27</f>
        <v>-254.27999999999986</v>
      </c>
    </row>
    <row r="28" spans="1:9" ht="12.75">
      <c r="A28" s="51" t="s">
        <v>107</v>
      </c>
      <c r="B28" s="27">
        <v>17786.1</v>
      </c>
      <c r="C28" s="27">
        <v>1100</v>
      </c>
      <c r="D28" s="27">
        <v>239.79</v>
      </c>
      <c r="E28" s="27">
        <f t="shared" si="0"/>
        <v>1.3481876296658626</v>
      </c>
      <c r="F28" s="27">
        <v>1929.72</v>
      </c>
      <c r="G28" s="27">
        <f>627530.69/1000</f>
        <v>627.5306899999999</v>
      </c>
      <c r="H28" s="25">
        <f t="shared" si="1"/>
        <v>175.29023162197853</v>
      </c>
      <c r="I28" s="33">
        <f>D28-Январь!D28</f>
        <v>-152.53</v>
      </c>
    </row>
    <row r="29" spans="1:9" ht="12.75">
      <c r="A29" s="47" t="s">
        <v>9</v>
      </c>
      <c r="B29" s="26">
        <f>SUM(B30:B32)</f>
        <v>15600</v>
      </c>
      <c r="C29" s="26">
        <f>SUM(C30:C32)</f>
        <v>1500</v>
      </c>
      <c r="D29" s="26">
        <f>SUM(D30:D32)</f>
        <v>2320.39</v>
      </c>
      <c r="E29" s="26">
        <f t="shared" si="0"/>
        <v>14.874294871794872</v>
      </c>
      <c r="F29" s="26">
        <v>793.07</v>
      </c>
      <c r="G29" s="26">
        <f>SUM(G30:G32)</f>
        <v>1026.5252500000001</v>
      </c>
      <c r="H29" s="25">
        <f t="shared" si="1"/>
        <v>146.12402373930888</v>
      </c>
      <c r="I29" s="33">
        <f>D29-Январь!D29</f>
        <v>1168.7499999999998</v>
      </c>
    </row>
    <row r="30" spans="1:9" ht="25.5">
      <c r="A30" s="51" t="s">
        <v>10</v>
      </c>
      <c r="B30" s="27">
        <v>15550</v>
      </c>
      <c r="C30" s="27">
        <v>1500</v>
      </c>
      <c r="D30" s="27">
        <v>2305.39</v>
      </c>
      <c r="E30" s="27">
        <f t="shared" si="0"/>
        <v>14.825659163987137</v>
      </c>
      <c r="F30" s="27">
        <v>793.07</v>
      </c>
      <c r="G30" s="27">
        <f>1014925.25/1000</f>
        <v>1014.92525</v>
      </c>
      <c r="H30" s="25">
        <f t="shared" si="1"/>
        <v>147.79413557796497</v>
      </c>
      <c r="I30" s="33">
        <f>D30-Январь!D30</f>
        <v>1168.7499999999998</v>
      </c>
    </row>
    <row r="31" spans="1:9" ht="25.5">
      <c r="A31" s="51" t="s">
        <v>91</v>
      </c>
      <c r="B31" s="27">
        <v>0</v>
      </c>
      <c r="C31" s="27">
        <v>0</v>
      </c>
      <c r="D31" s="27">
        <v>0</v>
      </c>
      <c r="E31" s="27" t="s">
        <v>148</v>
      </c>
      <c r="F31" s="27">
        <v>0</v>
      </c>
      <c r="G31" s="27">
        <f>1600/1000</f>
        <v>1.6</v>
      </c>
      <c r="H31" s="25">
        <f t="shared" si="1"/>
        <v>0</v>
      </c>
      <c r="I31" s="33">
        <f>D31-Январь!D31</f>
        <v>0</v>
      </c>
    </row>
    <row r="32" spans="1:9" ht="25.5">
      <c r="A32" s="51" t="s">
        <v>90</v>
      </c>
      <c r="B32" s="27">
        <v>50</v>
      </c>
      <c r="C32" s="27">
        <v>0</v>
      </c>
      <c r="D32" s="27">
        <v>15</v>
      </c>
      <c r="E32" s="27">
        <f t="shared" si="0"/>
        <v>30</v>
      </c>
      <c r="F32" s="27">
        <v>0</v>
      </c>
      <c r="G32" s="27">
        <f>10000/1000</f>
        <v>10</v>
      </c>
      <c r="H32" s="25">
        <f t="shared" si="1"/>
        <v>0</v>
      </c>
      <c r="I32" s="33">
        <f>D32-Январь!D32</f>
        <v>0</v>
      </c>
    </row>
    <row r="33" spans="1:9" ht="25.5" hidden="1">
      <c r="A33" s="54" t="s">
        <v>11</v>
      </c>
      <c r="B33" s="27">
        <v>0</v>
      </c>
      <c r="C33" s="27">
        <v>0</v>
      </c>
      <c r="D33" s="27">
        <v>0.02</v>
      </c>
      <c r="E33" s="25" t="e">
        <f t="shared" si="0"/>
        <v>#DIV/0!</v>
      </c>
      <c r="F33" s="25">
        <v>0</v>
      </c>
      <c r="G33" s="27">
        <v>0.02</v>
      </c>
      <c r="H33" s="25">
        <f t="shared" si="1"/>
        <v>0</v>
      </c>
      <c r="I33" s="33">
        <f>D33-Январь!D33</f>
        <v>0</v>
      </c>
    </row>
    <row r="34" spans="1:9" ht="25.5" hidden="1">
      <c r="A34" s="51" t="s">
        <v>116</v>
      </c>
      <c r="B34" s="33">
        <v>0</v>
      </c>
      <c r="C34" s="33">
        <v>0</v>
      </c>
      <c r="D34" s="33">
        <v>0.02</v>
      </c>
      <c r="E34" s="25" t="e">
        <f t="shared" si="0"/>
        <v>#DIV/0!</v>
      </c>
      <c r="F34" s="25">
        <v>0</v>
      </c>
      <c r="G34" s="33">
        <v>0.02</v>
      </c>
      <c r="H34" s="25">
        <f t="shared" si="1"/>
        <v>0</v>
      </c>
      <c r="I34" s="33">
        <f>D34-Январь!D34</f>
        <v>0</v>
      </c>
    </row>
    <row r="35" spans="1:9" ht="25.5" hidden="1">
      <c r="A35" s="51" t="s">
        <v>92</v>
      </c>
      <c r="B35" s="27">
        <v>0</v>
      </c>
      <c r="C35" s="27">
        <v>0</v>
      </c>
      <c r="D35" s="27">
        <v>0</v>
      </c>
      <c r="E35" s="25" t="e">
        <f t="shared" si="0"/>
        <v>#DIV/0!</v>
      </c>
      <c r="F35" s="25">
        <v>0</v>
      </c>
      <c r="G35" s="27">
        <v>0</v>
      </c>
      <c r="H35" s="25" t="e">
        <f t="shared" si="1"/>
        <v>#DIV/0!</v>
      </c>
      <c r="I35" s="33">
        <f>D35-Январь!D35</f>
        <v>0</v>
      </c>
    </row>
    <row r="36" spans="1:9" ht="38.25">
      <c r="A36" s="54" t="s">
        <v>150</v>
      </c>
      <c r="B36" s="27">
        <v>0</v>
      </c>
      <c r="C36" s="27">
        <v>0</v>
      </c>
      <c r="D36" s="27">
        <v>-17.04</v>
      </c>
      <c r="E36" s="25" t="e">
        <f t="shared" si="0"/>
        <v>#DIV/0!</v>
      </c>
      <c r="F36" s="25"/>
      <c r="G36" s="27">
        <v>0</v>
      </c>
      <c r="H36" s="25">
        <v>0</v>
      </c>
      <c r="I36" s="33">
        <f>D36-Январь!D36</f>
        <v>-17.45</v>
      </c>
    </row>
    <row r="37" spans="1:9" ht="39.75" customHeight="1">
      <c r="A37" s="54" t="s">
        <v>12</v>
      </c>
      <c r="B37" s="26">
        <f>SUM(B39:B45)</f>
        <v>57702.52</v>
      </c>
      <c r="C37" s="26">
        <f>SUM(C39:C45)</f>
        <v>10121.04</v>
      </c>
      <c r="D37" s="26">
        <f>SUM(D39:D45)</f>
        <v>8213.390000000001</v>
      </c>
      <c r="E37" s="26">
        <f t="shared" si="0"/>
        <v>14.234023054798998</v>
      </c>
      <c r="F37" s="26">
        <v>3247.05</v>
      </c>
      <c r="G37" s="26">
        <f>SUM(G39:G45)</f>
        <v>3331.27835</v>
      </c>
      <c r="H37" s="25">
        <f t="shared" si="1"/>
        <v>303.81850258775285</v>
      </c>
      <c r="I37" s="33">
        <f>D37-Январь!D37</f>
        <v>3579.4500000000016</v>
      </c>
    </row>
    <row r="38" spans="1:9" ht="81.75" customHeight="1" hidden="1">
      <c r="A38" s="51" t="s">
        <v>114</v>
      </c>
      <c r="B38" s="27"/>
      <c r="C38" s="27"/>
      <c r="D38" s="27"/>
      <c r="E38" s="25" t="e">
        <f t="shared" si="0"/>
        <v>#DIV/0!</v>
      </c>
      <c r="F38" s="25"/>
      <c r="G38" s="27"/>
      <c r="H38" s="25" t="e">
        <f t="shared" si="1"/>
        <v>#DIV/0!</v>
      </c>
      <c r="I38" s="33">
        <f>D38-Январь!D38</f>
        <v>0</v>
      </c>
    </row>
    <row r="39" spans="1:9" ht="76.5">
      <c r="A39" s="51" t="s">
        <v>117</v>
      </c>
      <c r="B39" s="27">
        <v>29271.18</v>
      </c>
      <c r="C39" s="27">
        <v>4878.54</v>
      </c>
      <c r="D39" s="27">
        <v>3159.33</v>
      </c>
      <c r="E39" s="27">
        <f t="shared" si="0"/>
        <v>10.793312739698228</v>
      </c>
      <c r="F39" s="27">
        <v>2393.3</v>
      </c>
      <c r="G39" s="27">
        <f>1861737.65/1000</f>
        <v>1861.7376499999998</v>
      </c>
      <c r="H39" s="25">
        <f t="shared" si="1"/>
        <v>262.04229151191095</v>
      </c>
      <c r="I39" s="33">
        <f>D39-Январь!D39</f>
        <v>1116.25</v>
      </c>
    </row>
    <row r="40" spans="1:9" ht="76.5">
      <c r="A40" s="51" t="s">
        <v>125</v>
      </c>
      <c r="B40" s="27">
        <v>5434.31</v>
      </c>
      <c r="C40" s="27">
        <v>905.72</v>
      </c>
      <c r="D40" s="27">
        <v>1110.23</v>
      </c>
      <c r="E40" s="27">
        <f t="shared" si="0"/>
        <v>20.430008593547296</v>
      </c>
      <c r="F40" s="27">
        <v>75.44</v>
      </c>
      <c r="G40" s="27">
        <f>160912.85/1000</f>
        <v>160.91285</v>
      </c>
      <c r="H40" s="25">
        <f t="shared" si="1"/>
        <v>562.8636867720634</v>
      </c>
      <c r="I40" s="33">
        <f>D40-Январь!D40</f>
        <v>206.5</v>
      </c>
    </row>
    <row r="41" spans="1:9" ht="76.5">
      <c r="A41" s="51" t="s">
        <v>118</v>
      </c>
      <c r="B41" s="27">
        <v>515.73</v>
      </c>
      <c r="C41" s="27">
        <v>79.58</v>
      </c>
      <c r="D41" s="27">
        <v>143.93</v>
      </c>
      <c r="E41" s="27">
        <f t="shared" si="0"/>
        <v>27.908013883233473</v>
      </c>
      <c r="F41" s="27">
        <v>3.43</v>
      </c>
      <c r="G41" s="27">
        <f>3504.13/1000</f>
        <v>3.50413</v>
      </c>
      <c r="H41" s="25">
        <f t="shared" si="1"/>
        <v>2271.0344650455318</v>
      </c>
      <c r="I41" s="33">
        <f>D41-Январь!D41</f>
        <v>60.5</v>
      </c>
    </row>
    <row r="42" spans="1:9" ht="38.25">
      <c r="A42" s="51" t="s">
        <v>119</v>
      </c>
      <c r="B42" s="27">
        <v>17384.33</v>
      </c>
      <c r="C42" s="27">
        <v>2897.38</v>
      </c>
      <c r="D42" s="27">
        <v>2414.34</v>
      </c>
      <c r="E42" s="27">
        <f t="shared" si="0"/>
        <v>13.888024445003055</v>
      </c>
      <c r="F42" s="27">
        <v>538.73</v>
      </c>
      <c r="G42" s="27">
        <f>1216579.84/1000</f>
        <v>1216.57984</v>
      </c>
      <c r="H42" s="25">
        <f t="shared" si="1"/>
        <v>238.15781790367328</v>
      </c>
      <c r="I42" s="33">
        <f>D42-Январь!D42</f>
        <v>1005.3100000000002</v>
      </c>
    </row>
    <row r="43" spans="1:9" ht="51">
      <c r="A43" s="51" t="s">
        <v>147</v>
      </c>
      <c r="B43" s="27">
        <v>62.2</v>
      </c>
      <c r="C43" s="27">
        <v>10.36</v>
      </c>
      <c r="D43" s="27">
        <v>5.51</v>
      </c>
      <c r="E43" s="27">
        <f t="shared" si="0"/>
        <v>8.858520900321542</v>
      </c>
      <c r="F43" s="27"/>
      <c r="G43" s="27">
        <v>0</v>
      </c>
      <c r="H43" s="25" t="s">
        <v>148</v>
      </c>
      <c r="I43" s="33">
        <f>D43-Январь!D43</f>
        <v>5.51</v>
      </c>
    </row>
    <row r="44" spans="1:9" ht="51">
      <c r="A44" s="51" t="s">
        <v>120</v>
      </c>
      <c r="B44" s="27">
        <v>1531</v>
      </c>
      <c r="C44" s="27">
        <v>765.5</v>
      </c>
      <c r="D44" s="27">
        <v>997.19</v>
      </c>
      <c r="E44" s="27">
        <f t="shared" si="0"/>
        <v>65.13324624428478</v>
      </c>
      <c r="F44" s="27">
        <v>0</v>
      </c>
      <c r="G44" s="27">
        <v>0</v>
      </c>
      <c r="H44" s="25" t="s">
        <v>148</v>
      </c>
      <c r="I44" s="33">
        <f>D44-Январь!D44</f>
        <v>997.19</v>
      </c>
    </row>
    <row r="45" spans="1:9" ht="76.5">
      <c r="A45" s="55" t="s">
        <v>121</v>
      </c>
      <c r="B45" s="27">
        <v>3503.77</v>
      </c>
      <c r="C45" s="27">
        <v>583.96</v>
      </c>
      <c r="D45" s="27">
        <v>382.86</v>
      </c>
      <c r="E45" s="27">
        <f t="shared" si="0"/>
        <v>10.927087109028276</v>
      </c>
      <c r="F45" s="27">
        <v>236.15</v>
      </c>
      <c r="G45" s="27">
        <f>88543.88/1000</f>
        <v>88.54388</v>
      </c>
      <c r="H45" s="25">
        <f t="shared" si="1"/>
        <v>659.5148077992517</v>
      </c>
      <c r="I45" s="33">
        <f>D45-Январь!D45</f>
        <v>188.19000000000003</v>
      </c>
    </row>
    <row r="46" spans="1:9" ht="27" customHeight="1">
      <c r="A46" s="48" t="s">
        <v>13</v>
      </c>
      <c r="B46" s="33">
        <v>598.72</v>
      </c>
      <c r="C46" s="33">
        <v>58</v>
      </c>
      <c r="D46" s="33">
        <v>174.75</v>
      </c>
      <c r="E46" s="33">
        <f t="shared" si="0"/>
        <v>29.187266167824692</v>
      </c>
      <c r="F46" s="33">
        <v>43.6</v>
      </c>
      <c r="G46" s="33">
        <f>96256.37/1000</f>
        <v>96.25636999999999</v>
      </c>
      <c r="H46" s="33">
        <f t="shared" si="1"/>
        <v>60.2557524244889</v>
      </c>
      <c r="I46" s="33">
        <f>D46-Январь!D46</f>
        <v>172.38</v>
      </c>
    </row>
    <row r="47" spans="1:9" ht="25.5">
      <c r="A47" s="48" t="s">
        <v>96</v>
      </c>
      <c r="B47" s="33">
        <v>1290.36</v>
      </c>
      <c r="C47" s="33">
        <v>79.81</v>
      </c>
      <c r="D47" s="33">
        <v>120.63</v>
      </c>
      <c r="E47" s="33">
        <f t="shared" si="0"/>
        <v>9.348553891937133</v>
      </c>
      <c r="F47" s="33">
        <v>561.58</v>
      </c>
      <c r="G47" s="33">
        <f>21416.23/1000</f>
        <v>21.41623</v>
      </c>
      <c r="H47" s="33">
        <f t="shared" si="1"/>
        <v>372.66129472834393</v>
      </c>
      <c r="I47" s="33">
        <f>D47-Январь!D47</f>
        <v>120.63</v>
      </c>
    </row>
    <row r="48" spans="1:9" ht="25.5">
      <c r="A48" s="54" t="s">
        <v>14</v>
      </c>
      <c r="B48" s="33">
        <f>SUM(B49:B51)</f>
        <v>23400</v>
      </c>
      <c r="C48" s="33">
        <f>SUM(C49:C51)</f>
        <v>0</v>
      </c>
      <c r="D48" s="33">
        <f>SUM(D49:D51)</f>
        <v>532.9</v>
      </c>
      <c r="E48" s="25">
        <f t="shared" si="0"/>
        <v>2.2773504273504273</v>
      </c>
      <c r="F48" s="25">
        <v>585.5</v>
      </c>
      <c r="G48" s="27">
        <f>SUM(G49:G51)</f>
        <v>273.72363</v>
      </c>
      <c r="H48" s="25">
        <f t="shared" si="1"/>
        <v>0</v>
      </c>
      <c r="I48" s="33">
        <f>D48-Январь!D48</f>
        <v>56.099999999999966</v>
      </c>
    </row>
    <row r="49" spans="1:9" ht="12.75">
      <c r="A49" s="51" t="s">
        <v>94</v>
      </c>
      <c r="B49" s="27">
        <v>0</v>
      </c>
      <c r="C49" s="27">
        <v>0</v>
      </c>
      <c r="D49" s="27">
        <v>0</v>
      </c>
      <c r="E49" s="25">
        <v>0</v>
      </c>
      <c r="F49" s="25">
        <v>0</v>
      </c>
      <c r="G49" s="33">
        <v>0</v>
      </c>
      <c r="H49" s="25" t="s">
        <v>148</v>
      </c>
      <c r="I49" s="33">
        <f>D49-Январь!D49</f>
        <v>0</v>
      </c>
    </row>
    <row r="50" spans="1:9" ht="76.5">
      <c r="A50" s="51" t="s">
        <v>95</v>
      </c>
      <c r="B50" s="27">
        <v>22000</v>
      </c>
      <c r="C50" s="27">
        <v>0</v>
      </c>
      <c r="D50" s="27">
        <v>0</v>
      </c>
      <c r="E50" s="25">
        <f t="shared" si="0"/>
        <v>0</v>
      </c>
      <c r="F50" s="25">
        <v>37.14</v>
      </c>
      <c r="G50" s="27">
        <v>0</v>
      </c>
      <c r="H50" s="25" t="s">
        <v>148</v>
      </c>
      <c r="I50" s="33">
        <f>D50-Январь!D50</f>
        <v>0</v>
      </c>
    </row>
    <row r="51" spans="1:9" ht="52.5" customHeight="1">
      <c r="A51" s="55" t="s">
        <v>93</v>
      </c>
      <c r="B51" s="27">
        <v>1400</v>
      </c>
      <c r="C51" s="27">
        <v>0</v>
      </c>
      <c r="D51" s="27">
        <v>532.9</v>
      </c>
      <c r="E51" s="27">
        <f t="shared" si="0"/>
        <v>38.06428571428571</v>
      </c>
      <c r="F51" s="27">
        <v>548.36</v>
      </c>
      <c r="G51" s="27">
        <f>273723.63/1000</f>
        <v>273.72363</v>
      </c>
      <c r="H51" s="25">
        <f t="shared" si="1"/>
        <v>0</v>
      </c>
      <c r="I51" s="33">
        <f>D51-Январь!D51</f>
        <v>56.099999999999966</v>
      </c>
    </row>
    <row r="52" spans="1:9" ht="12.75">
      <c r="A52" s="48" t="s">
        <v>15</v>
      </c>
      <c r="B52" s="33">
        <v>3600.1</v>
      </c>
      <c r="C52" s="33">
        <v>310.92</v>
      </c>
      <c r="D52" s="33">
        <v>-4676.34</v>
      </c>
      <c r="E52" s="26">
        <f t="shared" si="0"/>
        <v>-129.8947251465237</v>
      </c>
      <c r="F52" s="26">
        <v>179.73</v>
      </c>
      <c r="G52" s="26">
        <f>105873.81/1000</f>
        <v>105.87380999999999</v>
      </c>
      <c r="H52" s="25">
        <f t="shared" si="1"/>
        <v>293.670360970291</v>
      </c>
      <c r="I52" s="33">
        <f>D52-Январь!D52</f>
        <v>262.3800000000001</v>
      </c>
    </row>
    <row r="53" spans="1:9" ht="63.75" hidden="1">
      <c r="A53" s="51" t="s">
        <v>126</v>
      </c>
      <c r="B53" s="33">
        <v>223.07</v>
      </c>
      <c r="C53" s="33">
        <v>20</v>
      </c>
      <c r="D53" s="33"/>
      <c r="E53" s="26">
        <f t="shared" si="0"/>
        <v>0</v>
      </c>
      <c r="F53" s="26"/>
      <c r="G53" s="26"/>
      <c r="H53" s="25" t="e">
        <f t="shared" si="1"/>
        <v>#DIV/0!</v>
      </c>
      <c r="I53" s="33">
        <f>D53-Январь!D53</f>
        <v>0</v>
      </c>
    </row>
    <row r="54" spans="1:9" ht="89.25" hidden="1">
      <c r="A54" s="51" t="s">
        <v>127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6"/>
      <c r="H54" s="25" t="e">
        <f t="shared" si="1"/>
        <v>#DIV/0!</v>
      </c>
      <c r="I54" s="33">
        <f>D54-Январь!D54</f>
        <v>0</v>
      </c>
    </row>
    <row r="55" spans="1:9" ht="63.75" hidden="1">
      <c r="A55" s="51" t="s">
        <v>128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6"/>
      <c r="H55" s="25" t="e">
        <f t="shared" si="1"/>
        <v>#DIV/0!</v>
      </c>
      <c r="I55" s="33">
        <f>D55-Январь!D55</f>
        <v>0</v>
      </c>
    </row>
    <row r="56" spans="1:9" ht="29.25" customHeight="1" hidden="1">
      <c r="A56" s="51" t="s">
        <v>129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6"/>
      <c r="H56" s="25" t="e">
        <f t="shared" si="1"/>
        <v>#DIV/0!</v>
      </c>
      <c r="I56" s="33">
        <f>D56-Январь!D56</f>
        <v>0</v>
      </c>
    </row>
    <row r="57" spans="1:9" ht="38.25" customHeight="1" hidden="1">
      <c r="A57" s="51" t="s">
        <v>130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6"/>
      <c r="H57" s="25" t="e">
        <f t="shared" si="1"/>
        <v>#DIV/0!</v>
      </c>
      <c r="I57" s="33">
        <f>D57-Январь!D57</f>
        <v>0</v>
      </c>
    </row>
    <row r="58" spans="1:9" ht="43.5" customHeight="1" hidden="1">
      <c r="A58" s="51" t="s">
        <v>131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6"/>
      <c r="H58" s="25" t="e">
        <f t="shared" si="1"/>
        <v>#DIV/0!</v>
      </c>
      <c r="I58" s="33">
        <f>D58-Январь!D58</f>
        <v>0</v>
      </c>
    </row>
    <row r="59" spans="1:9" ht="40.5" customHeight="1" hidden="1">
      <c r="A59" s="51" t="s">
        <v>132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6"/>
      <c r="H59" s="25" t="e">
        <f t="shared" si="1"/>
        <v>#DIV/0!</v>
      </c>
      <c r="I59" s="33">
        <f>D59-Январь!D59</f>
        <v>0</v>
      </c>
    </row>
    <row r="60" spans="1:9" ht="51" hidden="1">
      <c r="A60" s="51" t="s">
        <v>133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6"/>
      <c r="H60" s="25" t="e">
        <f t="shared" si="1"/>
        <v>#DIV/0!</v>
      </c>
      <c r="I60" s="33">
        <f>D60-Январь!D60</f>
        <v>0</v>
      </c>
    </row>
    <row r="61" spans="1:9" ht="76.5" hidden="1">
      <c r="A61" s="51" t="s">
        <v>134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D61-Январь!D61</f>
        <v>0</v>
      </c>
    </row>
    <row r="62" spans="1:9" ht="12.75" hidden="1">
      <c r="A62" s="51" t="s">
        <v>135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26"/>
      <c r="H62" s="25" t="e">
        <f t="shared" si="1"/>
        <v>#DIV/0!</v>
      </c>
      <c r="I62" s="33">
        <f>D62-Январь!D62</f>
        <v>0</v>
      </c>
    </row>
    <row r="63" spans="1:9" ht="12.75">
      <c r="A63" s="47" t="s">
        <v>16</v>
      </c>
      <c r="B63" s="33">
        <v>10</v>
      </c>
      <c r="C63" s="33">
        <v>1.6</v>
      </c>
      <c r="D63" s="33">
        <v>-1095.11</v>
      </c>
      <c r="E63" s="26">
        <f t="shared" si="0"/>
        <v>-10951.1</v>
      </c>
      <c r="F63" s="26">
        <v>-38.79</v>
      </c>
      <c r="G63" s="26">
        <v>0</v>
      </c>
      <c r="H63" s="25" t="s">
        <v>148</v>
      </c>
      <c r="I63" s="33">
        <f>D63-Январь!D63</f>
        <v>-23.189999999999827</v>
      </c>
    </row>
    <row r="64" spans="1:9" ht="12.75">
      <c r="A64" s="54" t="s">
        <v>17</v>
      </c>
      <c r="B64" s="26">
        <f>B63+B52+B48+B47+B46+B37+B29+B26+B21+B16+B8</f>
        <v>718032.66</v>
      </c>
      <c r="C64" s="26">
        <f>C63+C52+C48+C47+C46+C37+C29+C26+C21+C16+C8</f>
        <v>53136.37</v>
      </c>
      <c r="D64" s="26">
        <f>D63+D52+D48+D47+D46+D37+D29+D26+D21+D16+D8</f>
        <v>27298.98</v>
      </c>
      <c r="E64" s="26">
        <f t="shared" si="0"/>
        <v>3.801913411571</v>
      </c>
      <c r="F64" s="26">
        <v>27699.089999999997</v>
      </c>
      <c r="G64" s="26">
        <f>G63+G52+G48+G47+G46+G37+G29+G26+G21+G16+G8</f>
        <v>34369.89031</v>
      </c>
      <c r="H64" s="25">
        <f t="shared" si="1"/>
        <v>154.6015117323195</v>
      </c>
      <c r="I64" s="33">
        <f>D64-Январь!D64</f>
        <v>1426.2900000000009</v>
      </c>
    </row>
    <row r="65" spans="1:9" ht="12.75">
      <c r="A65" s="54" t="s">
        <v>18</v>
      </c>
      <c r="B65" s="26">
        <f>B66+B71+B72</f>
        <v>2840157.9</v>
      </c>
      <c r="C65" s="26">
        <f>C66+C71+C72</f>
        <v>260821.66999999998</v>
      </c>
      <c r="D65" s="26">
        <f>D66+D71+D72</f>
        <v>340327.71</v>
      </c>
      <c r="E65" s="26">
        <f t="shared" si="0"/>
        <v>11.982703848965581</v>
      </c>
      <c r="F65" s="26">
        <v>43822.57000000001</v>
      </c>
      <c r="G65" s="26">
        <f>G66+G71+G72</f>
        <v>26428.086470000002</v>
      </c>
      <c r="H65" s="25">
        <f t="shared" si="1"/>
        <v>986.9109150073095</v>
      </c>
      <c r="I65" s="33">
        <f>D65-Январь!D65</f>
        <v>320851.23000000004</v>
      </c>
    </row>
    <row r="66" spans="1:9" ht="25.5">
      <c r="A66" s="54" t="s">
        <v>19</v>
      </c>
      <c r="B66" s="26">
        <f>SUM(B67:B70)</f>
        <v>2893973.6</v>
      </c>
      <c r="C66" s="26">
        <f>SUM(C67:C70)</f>
        <v>314637.37</v>
      </c>
      <c r="D66" s="26">
        <f>SUM(D67:D70)</f>
        <v>369882.27</v>
      </c>
      <c r="E66" s="26">
        <f t="shared" si="0"/>
        <v>12.781121085555169</v>
      </c>
      <c r="F66" s="26">
        <v>46091.770000000004</v>
      </c>
      <c r="G66" s="26">
        <f>SUM(G67:G70)</f>
        <v>51320.40685</v>
      </c>
      <c r="H66" s="25">
        <f t="shared" si="1"/>
        <v>613.0843251489149</v>
      </c>
      <c r="I66" s="33">
        <f>D66-Январь!D66</f>
        <v>296590.09</v>
      </c>
    </row>
    <row r="67" spans="1:9" ht="12.75">
      <c r="A67" s="51" t="s">
        <v>108</v>
      </c>
      <c r="B67" s="27">
        <v>565077</v>
      </c>
      <c r="C67" s="27">
        <v>110109.1</v>
      </c>
      <c r="D67" s="27">
        <v>165354</v>
      </c>
      <c r="E67" s="25">
        <f t="shared" si="0"/>
        <v>29.262206743505754</v>
      </c>
      <c r="F67" s="25">
        <v>15902.8</v>
      </c>
      <c r="G67" s="27">
        <f>18665500/1000</f>
        <v>18665.5</v>
      </c>
      <c r="H67" s="25">
        <f t="shared" si="1"/>
        <v>589.9070477619138</v>
      </c>
      <c r="I67" s="33">
        <f>D67-Январь!D67</f>
        <v>128333.2</v>
      </c>
    </row>
    <row r="68" spans="1:9" ht="12.75" customHeight="1">
      <c r="A68" s="51" t="s">
        <v>109</v>
      </c>
      <c r="B68" s="27">
        <v>1029435.96</v>
      </c>
      <c r="C68" s="27">
        <v>66950.07</v>
      </c>
      <c r="D68" s="27">
        <v>66950.07</v>
      </c>
      <c r="E68" s="25">
        <f t="shared" si="0"/>
        <v>6.503568225846706</v>
      </c>
      <c r="F68" s="25">
        <v>0</v>
      </c>
      <c r="G68" s="27">
        <f>702486/1000</f>
        <v>702.486</v>
      </c>
      <c r="H68" s="25">
        <f t="shared" si="1"/>
        <v>9530.449005389433</v>
      </c>
      <c r="I68" s="33">
        <f>D68-Январь!D68</f>
        <v>66950.07</v>
      </c>
    </row>
    <row r="69" spans="1:9" ht="18.75" customHeight="1">
      <c r="A69" s="51" t="s">
        <v>110</v>
      </c>
      <c r="B69" s="27">
        <v>1246629.9</v>
      </c>
      <c r="C69" s="27">
        <v>133652.2</v>
      </c>
      <c r="D69" s="27">
        <v>133652.2</v>
      </c>
      <c r="E69" s="25">
        <f t="shared" si="0"/>
        <v>10.721080891770688</v>
      </c>
      <c r="F69" s="25">
        <v>30188.97</v>
      </c>
      <c r="G69" s="27">
        <f>31952420.85/1000</f>
        <v>31952.420850000002</v>
      </c>
      <c r="H69" s="25">
        <f t="shared" si="1"/>
        <v>418.2850514752156</v>
      </c>
      <c r="I69" s="33">
        <f>D69-Январь!D69</f>
        <v>97380.82</v>
      </c>
    </row>
    <row r="70" spans="1:9" ht="12.75" customHeight="1">
      <c r="A70" s="2" t="s">
        <v>122</v>
      </c>
      <c r="B70" s="27">
        <v>52830.74</v>
      </c>
      <c r="C70" s="27">
        <v>3926</v>
      </c>
      <c r="D70" s="27">
        <v>3926</v>
      </c>
      <c r="E70" s="25">
        <f t="shared" si="0"/>
        <v>7.4312795921465415</v>
      </c>
      <c r="F70" s="25">
        <v>0</v>
      </c>
      <c r="G70" s="34">
        <v>0</v>
      </c>
      <c r="H70" s="25" t="s">
        <v>148</v>
      </c>
      <c r="I70" s="33">
        <f>D70-Январь!D70</f>
        <v>3926</v>
      </c>
    </row>
    <row r="71" spans="1:9" ht="12.75" customHeight="1">
      <c r="A71" s="54" t="s">
        <v>113</v>
      </c>
      <c r="B71" s="26">
        <v>0</v>
      </c>
      <c r="C71" s="26">
        <v>0</v>
      </c>
      <c r="D71" s="26">
        <v>0</v>
      </c>
      <c r="E71" s="26">
        <v>0</v>
      </c>
      <c r="F71" s="26">
        <v>0</v>
      </c>
      <c r="G71" s="26">
        <v>0</v>
      </c>
      <c r="H71" s="25" t="s">
        <v>148</v>
      </c>
      <c r="I71" s="33">
        <f>D71-Январь!D71</f>
        <v>0</v>
      </c>
    </row>
    <row r="72" spans="1:9" ht="25.5">
      <c r="A72" s="54" t="s">
        <v>21</v>
      </c>
      <c r="B72" s="33">
        <v>-53815.7</v>
      </c>
      <c r="C72" s="33">
        <v>-53815.7</v>
      </c>
      <c r="D72" s="33">
        <v>-29554.56</v>
      </c>
      <c r="E72" s="26">
        <f t="shared" si="0"/>
        <v>54.9181001083327</v>
      </c>
      <c r="F72" s="26">
        <v>-2269.2</v>
      </c>
      <c r="G72" s="26">
        <f>-24892320.38/1000</f>
        <v>-24892.320379999997</v>
      </c>
      <c r="H72" s="25">
        <f t="shared" si="1"/>
        <v>216.1939874566246</v>
      </c>
      <c r="I72" s="33">
        <f>D72-Январь!D72</f>
        <v>24261.139999999996</v>
      </c>
    </row>
    <row r="73" spans="1:9" ht="12.75">
      <c r="A73" s="47" t="s">
        <v>20</v>
      </c>
      <c r="B73" s="26">
        <f>B9+B11+B12+B13+B14+B15+B17+B18+B19+B20+B22+B23+B24+B25+B27+B28+B30+B31+B32+B39+B40+B41+B42+B43+B44+B45+B46+B47+B49+B50+B51+B52+B63+B67+B68+B69+B70+B71+B72</f>
        <v>3558190.56</v>
      </c>
      <c r="C73" s="26">
        <f>C9+C11+C12+C13+C14+C15+C17+C18+C19+C20+C22+C23+C24+C25+C27+C28+C30+C31+C32+C39+C40+C41+C42+C43+C44+C45+C46+C47+C49+C50+C51+C52+C63+C67+C68+C69+C70+C71+C72</f>
        <v>313958.04</v>
      </c>
      <c r="D73" s="26">
        <f>D9+D11+D12+D13+D14+D15+D17+D18+D19+D20+D22+D23+D24+D25+D27+D28+D30+D31+D32+D39+D40+D41+D42+D43+D44+D45+D46+D47+D49+D50+D51+D52+D63+D67+D68+D69+D70+D71+D72+D36</f>
        <v>367609.65</v>
      </c>
      <c r="E73" s="25">
        <f>D73/B73*100</f>
        <v>10.331364883391743</v>
      </c>
      <c r="F73" s="25">
        <v>71521.66</v>
      </c>
      <c r="G73" s="26">
        <f>G9+G11+G12+G13+G14+G15+G17+G18+G19+G20+G22+G23+G24+G25+G27+G28+G30+G31+G32+G39+G40+G41+G42+G43+G44+G45+G46+G47+G49+G50+G51+G52+G63+G67+G68+G69+G70+G71+G72</f>
        <v>60797.976780000005</v>
      </c>
      <c r="H73" s="25">
        <f>C73/G73*100</f>
        <v>516.3955391740586</v>
      </c>
      <c r="I73" s="33">
        <f>D73-Январь!D73</f>
        <v>322260.07</v>
      </c>
    </row>
    <row r="74" spans="1:9" ht="12.75" hidden="1">
      <c r="A74" s="54"/>
      <c r="B74" s="61"/>
      <c r="C74" s="61"/>
      <c r="D74" s="61"/>
      <c r="E74" s="45"/>
      <c r="F74" s="45"/>
      <c r="G74" s="61"/>
      <c r="H74" s="45"/>
      <c r="I74" s="61"/>
    </row>
    <row r="75" spans="1:9" ht="12.75" hidden="1">
      <c r="A75" s="54"/>
      <c r="B75" s="56"/>
      <c r="C75" s="56"/>
      <c r="D75" s="56"/>
      <c r="E75" s="45"/>
      <c r="F75" s="45"/>
      <c r="G75" s="56"/>
      <c r="H75" s="45"/>
      <c r="I75" s="56"/>
    </row>
    <row r="76" spans="1:9" ht="12.75" hidden="1">
      <c r="A76" s="47"/>
      <c r="B76" s="57"/>
      <c r="C76" s="57"/>
      <c r="D76" s="57"/>
      <c r="E76" s="45"/>
      <c r="F76" s="45"/>
      <c r="G76" s="57"/>
      <c r="H76" s="45"/>
      <c r="I76" s="57"/>
    </row>
    <row r="77" spans="1:9" ht="12.75" hidden="1">
      <c r="A77" s="62"/>
      <c r="B77" s="63"/>
      <c r="C77" s="63"/>
      <c r="D77" s="63"/>
      <c r="E77" s="64"/>
      <c r="F77" s="64"/>
      <c r="G77" s="63"/>
      <c r="H77" s="64"/>
      <c r="I77" s="65"/>
    </row>
    <row r="78" spans="1:9" ht="12.75">
      <c r="A78" s="102" t="s">
        <v>22</v>
      </c>
      <c r="B78" s="103"/>
      <c r="C78" s="103"/>
      <c r="D78" s="103"/>
      <c r="E78" s="103"/>
      <c r="F78" s="103"/>
      <c r="G78" s="103"/>
      <c r="H78" s="103"/>
      <c r="I78" s="104"/>
    </row>
    <row r="79" spans="1:9" ht="12.75">
      <c r="A79" s="7" t="s">
        <v>23</v>
      </c>
      <c r="B79" s="33">
        <f>B80+B81+B82+B83+B84+B85+B86+B87</f>
        <v>436543.95</v>
      </c>
      <c r="C79" s="33">
        <f>C80+C81+C82+C83+C84+C85+C86+C87</f>
        <v>59480.78</v>
      </c>
      <c r="D79" s="33">
        <f>D80+D81+D82+D83+D84+D85+D86+D87</f>
        <v>55926.05</v>
      </c>
      <c r="E79" s="25">
        <f>$D:$D/$B:$B*100</f>
        <v>12.811092674632189</v>
      </c>
      <c r="F79" s="25">
        <f>$D:$D/$C:$C*100</f>
        <v>94.02373338076603</v>
      </c>
      <c r="G79" s="33">
        <v>13857.27002</v>
      </c>
      <c r="H79" s="25">
        <f>$D:$D/$G:$G*100</f>
        <v>403.5863479551364</v>
      </c>
      <c r="I79" s="33">
        <f>D79-Январь!D79</f>
        <v>51885.280000000006</v>
      </c>
    </row>
    <row r="80" spans="1:9" ht="14.25" customHeight="1">
      <c r="A80" s="8" t="s">
        <v>24</v>
      </c>
      <c r="B80" s="27">
        <v>3112.77</v>
      </c>
      <c r="C80" s="27">
        <v>576.69</v>
      </c>
      <c r="D80" s="27">
        <v>411.32</v>
      </c>
      <c r="E80" s="28">
        <f>$D:$D/$B:$B*100</f>
        <v>13.213954130886638</v>
      </c>
      <c r="F80" s="28">
        <v>0</v>
      </c>
      <c r="G80" s="33">
        <v>14</v>
      </c>
      <c r="H80" s="28">
        <v>0</v>
      </c>
      <c r="I80" s="33">
        <f>D80-Январь!D80</f>
        <v>326.65</v>
      </c>
    </row>
    <row r="81" spans="1:9" ht="12.75">
      <c r="A81" s="8" t="s">
        <v>25</v>
      </c>
      <c r="B81" s="27">
        <v>7499.62</v>
      </c>
      <c r="C81" s="27">
        <v>1242.66</v>
      </c>
      <c r="D81" s="27">
        <v>917.17</v>
      </c>
      <c r="E81" s="28">
        <f>$D:$D/$B:$B*100</f>
        <v>12.229552964016843</v>
      </c>
      <c r="F81" s="28">
        <f>$D:$D/$C:$C*100</f>
        <v>73.80699467271819</v>
      </c>
      <c r="G81" s="33">
        <v>656.6261999999999</v>
      </c>
      <c r="H81" s="28">
        <f>$D:$D/$G:$G*100</f>
        <v>139.67916601561132</v>
      </c>
      <c r="I81" s="33">
        <f>D81-Январь!D81</f>
        <v>737.23</v>
      </c>
    </row>
    <row r="82" spans="1:9" ht="25.5">
      <c r="A82" s="8" t="s">
        <v>26</v>
      </c>
      <c r="B82" s="27">
        <v>68916.66</v>
      </c>
      <c r="C82" s="27">
        <v>9780.27</v>
      </c>
      <c r="D82" s="27">
        <v>7781.1</v>
      </c>
      <c r="E82" s="28">
        <f>$D:$D/$B:$B*100</f>
        <v>11.290593595220662</v>
      </c>
      <c r="F82" s="28">
        <f>$D:$D/$C:$C*100</f>
        <v>79.55915327490959</v>
      </c>
      <c r="G82" s="33">
        <v>6398.15301</v>
      </c>
      <c r="H82" s="28">
        <f>$D:$D/$G:$G*100</f>
        <v>121.61478457671333</v>
      </c>
      <c r="I82" s="33">
        <f>D82-Январь!D82</f>
        <v>6014.67</v>
      </c>
    </row>
    <row r="83" spans="1:9" ht="12.75">
      <c r="A83" s="8" t="s">
        <v>72</v>
      </c>
      <c r="B83" s="27">
        <v>4</v>
      </c>
      <c r="C83" s="27">
        <v>0</v>
      </c>
      <c r="D83" s="27">
        <v>0</v>
      </c>
      <c r="E83" s="28">
        <v>0</v>
      </c>
      <c r="F83" s="28">
        <v>0</v>
      </c>
      <c r="G83" s="33">
        <v>0</v>
      </c>
      <c r="H83" s="28">
        <v>0</v>
      </c>
      <c r="I83" s="33">
        <f>D83-Январь!D83</f>
        <v>0</v>
      </c>
    </row>
    <row r="84" spans="1:9" ht="25.5">
      <c r="A84" s="1" t="s">
        <v>27</v>
      </c>
      <c r="B84" s="27">
        <v>17625.39</v>
      </c>
      <c r="C84" s="27">
        <v>2574.5299999999997</v>
      </c>
      <c r="D84" s="27">
        <v>1765.35</v>
      </c>
      <c r="E84" s="28">
        <f>$D:$D/$B:$B*100</f>
        <v>10.015948583265391</v>
      </c>
      <c r="F84" s="28">
        <v>0</v>
      </c>
      <c r="G84" s="33">
        <v>1903.4766200000001</v>
      </c>
      <c r="H84" s="28">
        <f>$D:$D/$G:$G*100</f>
        <v>92.74345591909608</v>
      </c>
      <c r="I84" s="33">
        <f>D84-Январь!D84</f>
        <v>926.3599999999999</v>
      </c>
    </row>
    <row r="85" spans="1:9" ht="12.75" hidden="1">
      <c r="A85" s="8" t="s">
        <v>28</v>
      </c>
      <c r="B85" s="27">
        <v>0</v>
      </c>
      <c r="C85" s="27">
        <v>0</v>
      </c>
      <c r="D85" s="27">
        <v>0</v>
      </c>
      <c r="E85" s="28">
        <v>0</v>
      </c>
      <c r="F85" s="28">
        <v>0</v>
      </c>
      <c r="G85" s="33">
        <v>0</v>
      </c>
      <c r="H85" s="28">
        <v>0</v>
      </c>
      <c r="I85" s="33">
        <f>D85-Январь!D85</f>
        <v>0</v>
      </c>
    </row>
    <row r="86" spans="1:9" ht="12.75">
      <c r="A86" s="8" t="s">
        <v>29</v>
      </c>
      <c r="B86" s="27">
        <v>23857.81</v>
      </c>
      <c r="C86" s="27">
        <v>0</v>
      </c>
      <c r="D86" s="27">
        <v>0</v>
      </c>
      <c r="E86" s="28">
        <f>$D:$D/$B:$B*100</f>
        <v>0</v>
      </c>
      <c r="F86" s="28">
        <v>0</v>
      </c>
      <c r="G86" s="33">
        <v>0</v>
      </c>
      <c r="H86" s="28">
        <v>0</v>
      </c>
      <c r="I86" s="33">
        <f>D86-Январь!D86</f>
        <v>0</v>
      </c>
    </row>
    <row r="87" spans="1:9" ht="12.75">
      <c r="A87" s="1" t="s">
        <v>30</v>
      </c>
      <c r="B87" s="27">
        <v>315527.7</v>
      </c>
      <c r="C87" s="27">
        <v>45306.63</v>
      </c>
      <c r="D87" s="27">
        <v>45051.11</v>
      </c>
      <c r="E87" s="28">
        <f>$D:$D/$B:$B*100</f>
        <v>14.278020598508467</v>
      </c>
      <c r="F87" s="28">
        <f>$D:$D/$C:$C*100</f>
        <v>99.43602073250648</v>
      </c>
      <c r="G87" s="33">
        <v>4885.014190000001</v>
      </c>
      <c r="H87" s="28">
        <f>$D:$D/$G:$G*100</f>
        <v>922.2308932535567</v>
      </c>
      <c r="I87" s="33">
        <f>D87-Январь!D87</f>
        <v>43880.37</v>
      </c>
    </row>
    <row r="88" spans="1:9" ht="12.75">
      <c r="A88" s="7" t="s">
        <v>31</v>
      </c>
      <c r="B88" s="27">
        <v>527.7</v>
      </c>
      <c r="C88" s="27">
        <v>84.93</v>
      </c>
      <c r="D88" s="27">
        <v>84.93</v>
      </c>
      <c r="E88" s="25">
        <f>$D:$D/$B:$B*100</f>
        <v>16.094371802160317</v>
      </c>
      <c r="F88" s="25">
        <f>$D:$D/$C:$C*100</f>
        <v>100</v>
      </c>
      <c r="G88" s="33">
        <v>41.59918</v>
      </c>
      <c r="H88" s="25">
        <v>0</v>
      </c>
      <c r="I88" s="33">
        <f>D88-Январь!D88</f>
        <v>37.49000000000001</v>
      </c>
    </row>
    <row r="89" spans="1:9" ht="25.5">
      <c r="A89" s="9" t="s">
        <v>32</v>
      </c>
      <c r="B89" s="26">
        <v>10721.64</v>
      </c>
      <c r="C89" s="27">
        <v>612.28</v>
      </c>
      <c r="D89" s="34">
        <v>592.31</v>
      </c>
      <c r="E89" s="25">
        <f>$D:$D/$B:$B*100</f>
        <v>5.524434694692229</v>
      </c>
      <c r="F89" s="25">
        <f>$D:$D/$C:$C*100</f>
        <v>96.7384203305677</v>
      </c>
      <c r="G89" s="33">
        <v>510.76890999999995</v>
      </c>
      <c r="H89" s="25">
        <f>$D:$D/$G:$G*100</f>
        <v>115.9643800559435</v>
      </c>
      <c r="I89" s="33">
        <f>D89-Январь!D89</f>
        <v>472.30999999999995</v>
      </c>
    </row>
    <row r="90" spans="1:9" ht="12.75">
      <c r="A90" s="7" t="s">
        <v>33</v>
      </c>
      <c r="B90" s="33">
        <f>B91+B92+B93+B94</f>
        <v>203680.25999999998</v>
      </c>
      <c r="C90" s="33">
        <f>C91+C92+C93+C94</f>
        <v>14602.33</v>
      </c>
      <c r="D90" s="33">
        <f>D91+D92+D93+D94</f>
        <v>13908.4</v>
      </c>
      <c r="E90" s="33">
        <f>E91+E92+E93+E94</f>
        <v>22.262668948849146</v>
      </c>
      <c r="F90" s="33">
        <f>F91+F92+F93+F94</f>
        <v>166.18587947509735</v>
      </c>
      <c r="G90" s="33">
        <v>5082.763539999999</v>
      </c>
      <c r="H90" s="33">
        <f>H91+H92+H93+H94</f>
        <v>89.26190975943335</v>
      </c>
      <c r="I90" s="33">
        <f>I91+I92+I93+I94</f>
        <v>11423.109999999999</v>
      </c>
    </row>
    <row r="91" spans="1:9" ht="12.75" customHeight="1">
      <c r="A91" s="10" t="s">
        <v>67</v>
      </c>
      <c r="B91" s="27">
        <v>879.34</v>
      </c>
      <c r="C91" s="27">
        <v>0</v>
      </c>
      <c r="D91" s="27">
        <v>0</v>
      </c>
      <c r="E91" s="28">
        <v>0</v>
      </c>
      <c r="F91" s="28">
        <v>0</v>
      </c>
      <c r="G91" s="33"/>
      <c r="H91" s="28">
        <v>0</v>
      </c>
      <c r="I91" s="33">
        <f>D91-Январь!D92</f>
        <v>0</v>
      </c>
    </row>
    <row r="92" spans="1:9" ht="12.75">
      <c r="A92" s="8" t="s">
        <v>34</v>
      </c>
      <c r="B92" s="27">
        <v>29381</v>
      </c>
      <c r="C92" s="27">
        <v>2462.18</v>
      </c>
      <c r="D92" s="27">
        <v>2462.18</v>
      </c>
      <c r="E92" s="28">
        <f>$D:$D/$B:$B*100</f>
        <v>8.380177665838467</v>
      </c>
      <c r="F92" s="28">
        <v>0</v>
      </c>
      <c r="G92" s="33">
        <v>0</v>
      </c>
      <c r="H92" s="28">
        <v>0</v>
      </c>
      <c r="I92" s="33">
        <f>D92-Январь!D93</f>
        <v>2462.18</v>
      </c>
    </row>
    <row r="93" spans="1:9" ht="12.75">
      <c r="A93" s="10" t="s">
        <v>77</v>
      </c>
      <c r="B93" s="27">
        <v>155000.74</v>
      </c>
      <c r="C93" s="27">
        <v>10087.96</v>
      </c>
      <c r="D93" s="27">
        <v>10087.96</v>
      </c>
      <c r="E93" s="28">
        <f>$D:$D/$B:$B*100</f>
        <v>6.508330218294442</v>
      </c>
      <c r="F93" s="28">
        <f>$D:$D/$C:$C*100</f>
        <v>100</v>
      </c>
      <c r="G93" s="33">
        <v>2338.9037599999997</v>
      </c>
      <c r="H93" s="28">
        <v>0</v>
      </c>
      <c r="I93" s="33">
        <f>D93-Январь!D94</f>
        <v>7901.109999999999</v>
      </c>
    </row>
    <row r="94" spans="1:9" ht="12.75">
      <c r="A94" s="8" t="s">
        <v>35</v>
      </c>
      <c r="B94" s="27">
        <v>18419.18</v>
      </c>
      <c r="C94" s="27">
        <v>2052.19</v>
      </c>
      <c r="D94" s="27">
        <v>1358.26</v>
      </c>
      <c r="E94" s="28">
        <f>$D:$D/$B:$B*100</f>
        <v>7.374161064716237</v>
      </c>
      <c r="F94" s="28">
        <f>$D:$D/$C:$C*100</f>
        <v>66.18587947509734</v>
      </c>
      <c r="G94" s="33">
        <v>1521.65689</v>
      </c>
      <c r="H94" s="28">
        <f>$D:$D/$G:$G*100</f>
        <v>89.26190975943335</v>
      </c>
      <c r="I94" s="33">
        <f>D94-Январь!D95</f>
        <v>1059.82</v>
      </c>
    </row>
    <row r="95" spans="1:9" ht="12.75">
      <c r="A95" s="7" t="s">
        <v>36</v>
      </c>
      <c r="B95" s="33">
        <f>B97+B98+B99+B96</f>
        <v>343091.44</v>
      </c>
      <c r="C95" s="27">
        <f>C97+C98+C99+C96</f>
        <v>9592.01</v>
      </c>
      <c r="D95" s="33">
        <f>D97+D98+D99+D96</f>
        <v>9030.4</v>
      </c>
      <c r="E95" s="33">
        <f>E98+E99+E96</f>
        <v>8.954995905030016</v>
      </c>
      <c r="F95" s="25">
        <f>$D:$D/$C:$C*100</f>
        <v>94.14502278458842</v>
      </c>
      <c r="G95" s="33">
        <v>1222.2028899999998</v>
      </c>
      <c r="H95" s="33">
        <f>H97+H98+H99</f>
        <v>0</v>
      </c>
      <c r="I95" s="33">
        <f>D95-Январь!D96</f>
        <v>5897.5199999999995</v>
      </c>
    </row>
    <row r="96" spans="1:9" ht="12.75">
      <c r="A96" s="8" t="s">
        <v>37</v>
      </c>
      <c r="B96" s="27">
        <v>950</v>
      </c>
      <c r="C96" s="27">
        <v>0</v>
      </c>
      <c r="D96" s="27">
        <v>0</v>
      </c>
      <c r="E96" s="43">
        <v>0</v>
      </c>
      <c r="F96" s="28">
        <v>0</v>
      </c>
      <c r="G96" s="33">
        <v>7258.836570000001</v>
      </c>
      <c r="H96" s="28">
        <v>0</v>
      </c>
      <c r="I96" s="33">
        <f>D96-Январь!D97</f>
        <v>0</v>
      </c>
    </row>
    <row r="97" spans="1:9" ht="12.75">
      <c r="A97" s="8" t="s">
        <v>38</v>
      </c>
      <c r="B97" s="27">
        <v>4119.67</v>
      </c>
      <c r="C97" s="27">
        <v>0</v>
      </c>
      <c r="D97" s="27">
        <v>0</v>
      </c>
      <c r="E97" s="28">
        <f>$D:$D/$B:$B*100</f>
        <v>0</v>
      </c>
      <c r="F97" s="28">
        <v>0</v>
      </c>
      <c r="G97" s="33">
        <v>0</v>
      </c>
      <c r="H97" s="28">
        <v>0</v>
      </c>
      <c r="I97" s="33">
        <f>D97-Январь!D98</f>
        <v>0</v>
      </c>
    </row>
    <row r="98" spans="1:9" ht="12.75">
      <c r="A98" s="8" t="s">
        <v>39</v>
      </c>
      <c r="B98" s="27">
        <v>281394.28</v>
      </c>
      <c r="C98" s="27">
        <v>4956.9400000000005</v>
      </c>
      <c r="D98" s="27">
        <v>4956.94</v>
      </c>
      <c r="E98" s="28">
        <f>$D:$D/$B:$B*100</f>
        <v>1.7615638811137166</v>
      </c>
      <c r="F98" s="28">
        <f>$D:$D/$C:$C*100</f>
        <v>99.99999999999997</v>
      </c>
      <c r="G98" s="33">
        <v>0</v>
      </c>
      <c r="H98" s="28">
        <v>0</v>
      </c>
      <c r="I98" s="33">
        <f>D98-Январь!D99</f>
        <v>3294.5099999999993</v>
      </c>
    </row>
    <row r="99" spans="1:9" ht="12.75">
      <c r="A99" s="8" t="s">
        <v>40</v>
      </c>
      <c r="B99" s="27">
        <v>56627.49</v>
      </c>
      <c r="C99" s="27">
        <v>4635.07</v>
      </c>
      <c r="D99" s="27">
        <v>4073.46</v>
      </c>
      <c r="E99" s="28">
        <f>$D:$D/$B:$B*100</f>
        <v>7.193432023916299</v>
      </c>
      <c r="F99" s="28">
        <f>$D:$D/$C:$C*100</f>
        <v>87.88346238568134</v>
      </c>
      <c r="G99" s="33">
        <v>4603.010490000001</v>
      </c>
      <c r="H99" s="28">
        <v>0</v>
      </c>
      <c r="I99" s="33">
        <f>D99-Январь!D100</f>
        <v>2603.01</v>
      </c>
    </row>
    <row r="100" spans="1:9" ht="12.75">
      <c r="A100" s="11" t="s">
        <v>115</v>
      </c>
      <c r="B100" s="33">
        <f>B101</f>
        <v>14079.44</v>
      </c>
      <c r="C100" s="33">
        <f>C101</f>
        <v>246.56</v>
      </c>
      <c r="D100" s="33">
        <f>D101</f>
        <v>246.56</v>
      </c>
      <c r="E100" s="25">
        <f>$D:$D/$B:$B*100</f>
        <v>1.7512060138755516</v>
      </c>
      <c r="F100" s="25"/>
      <c r="G100" s="33">
        <v>2655.8260800000003</v>
      </c>
      <c r="H100" s="25">
        <v>0</v>
      </c>
      <c r="I100" s="33">
        <f>D100-Январь!D101</f>
        <v>246.56</v>
      </c>
    </row>
    <row r="101" spans="1:9" ht="38.25">
      <c r="A101" s="39" t="s">
        <v>155</v>
      </c>
      <c r="B101" s="75">
        <v>14079.44</v>
      </c>
      <c r="C101" s="75">
        <v>246.56</v>
      </c>
      <c r="D101" s="75">
        <v>246.56</v>
      </c>
      <c r="E101" s="28">
        <f>$D:$D/$B:$B*100</f>
        <v>1.7512060138755516</v>
      </c>
      <c r="F101" s="28"/>
      <c r="G101" s="33">
        <v>0</v>
      </c>
      <c r="H101" s="28">
        <v>0</v>
      </c>
      <c r="I101" s="33">
        <f>D101-Январь!D102</f>
        <v>246.56</v>
      </c>
    </row>
    <row r="102" spans="1:9" ht="12.75">
      <c r="A102" s="11" t="s">
        <v>41</v>
      </c>
      <c r="B102" s="33">
        <f>B103+B104+B106+B107+B108+B105</f>
        <v>1854281.2200000002</v>
      </c>
      <c r="C102" s="33">
        <f>C103+C104+C106+C107+C108+C105</f>
        <v>214514.81</v>
      </c>
      <c r="D102" s="33">
        <f>D103+D104+D106+D107+D108+D105</f>
        <v>214400.79</v>
      </c>
      <c r="E102" s="33">
        <f>E103+E104+E107+E108+E106</f>
        <v>50.38276095366297</v>
      </c>
      <c r="F102" s="33">
        <f>F103+F104+F107+F108+F106</f>
        <v>499.60015386538066</v>
      </c>
      <c r="G102" s="33">
        <v>0</v>
      </c>
      <c r="H102" s="33">
        <f>H103+H104+H107+H108+H106</f>
        <v>12961.624103309221</v>
      </c>
      <c r="I102" s="33">
        <f>D102-Январь!D103</f>
        <v>160496.42</v>
      </c>
    </row>
    <row r="103" spans="1:9" ht="12.75">
      <c r="A103" s="8" t="s">
        <v>42</v>
      </c>
      <c r="B103" s="27">
        <v>717907.48</v>
      </c>
      <c r="C103" s="27">
        <v>85655.04000000001</v>
      </c>
      <c r="D103" s="27">
        <v>85655.03</v>
      </c>
      <c r="E103" s="28">
        <f aca="true" t="shared" si="2" ref="E103:E121">$D:$D/$B:$B*100</f>
        <v>11.931207347219729</v>
      </c>
      <c r="F103" s="28">
        <f aca="true" t="shared" si="3" ref="F103:F111">$D:$D/$C:$C*100</f>
        <v>99.99998832526374</v>
      </c>
      <c r="G103" s="33">
        <v>182186.99302999998</v>
      </c>
      <c r="H103" s="28">
        <f>$D:$D/$G:$G*100</f>
        <v>47.014898580545506</v>
      </c>
      <c r="I103" s="33">
        <f>D103-Январь!D104</f>
        <v>63277.68</v>
      </c>
    </row>
    <row r="104" spans="1:9" ht="12.75">
      <c r="A104" s="8" t="s">
        <v>43</v>
      </c>
      <c r="B104" s="27">
        <v>746299.53</v>
      </c>
      <c r="C104" s="27">
        <v>86672.57</v>
      </c>
      <c r="D104" s="27">
        <v>86649.47</v>
      </c>
      <c r="E104" s="28">
        <f t="shared" si="2"/>
        <v>11.61054864928027</v>
      </c>
      <c r="F104" s="28">
        <f t="shared" si="3"/>
        <v>99.97334796925948</v>
      </c>
      <c r="G104" s="33">
        <v>71355.39703000001</v>
      </c>
      <c r="H104" s="28">
        <f>$D:$D/$G:$G*100</f>
        <v>121.4336596901982</v>
      </c>
      <c r="I104" s="33">
        <f>D104-Январь!D105</f>
        <v>65093.01</v>
      </c>
    </row>
    <row r="105" spans="1:9" ht="12.75">
      <c r="A105" s="21" t="s">
        <v>105</v>
      </c>
      <c r="B105" s="27">
        <v>145392.37</v>
      </c>
      <c r="C105" s="27">
        <v>15864.33</v>
      </c>
      <c r="D105" s="27">
        <v>15864.32</v>
      </c>
      <c r="E105" s="28">
        <f t="shared" si="2"/>
        <v>10.911384139346515</v>
      </c>
      <c r="F105" s="28">
        <f t="shared" si="3"/>
        <v>99.99993696550689</v>
      </c>
      <c r="G105" s="33">
        <v>72898.74029999999</v>
      </c>
      <c r="H105" s="28">
        <f>$D:$D/$G:$G*100</f>
        <v>21.762131875960552</v>
      </c>
      <c r="I105" s="33">
        <f>D105-Январь!D106</f>
        <v>11990.96</v>
      </c>
    </row>
    <row r="106" spans="1:9" ht="25.5">
      <c r="A106" s="8" t="s">
        <v>123</v>
      </c>
      <c r="B106" s="27">
        <v>372.36</v>
      </c>
      <c r="C106" s="27">
        <v>28.2</v>
      </c>
      <c r="D106" s="27">
        <v>28.2</v>
      </c>
      <c r="E106" s="28">
        <f t="shared" si="2"/>
        <v>7.573316145665484</v>
      </c>
      <c r="F106" s="28">
        <f t="shared" si="3"/>
        <v>100</v>
      </c>
      <c r="G106" s="33">
        <v>15189.98418</v>
      </c>
      <c r="H106" s="28">
        <v>0</v>
      </c>
      <c r="I106" s="33">
        <f>D106-Январь!D107</f>
        <v>28.2</v>
      </c>
    </row>
    <row r="107" spans="1:9" ht="12.75">
      <c r="A107" s="8" t="s">
        <v>44</v>
      </c>
      <c r="B107" s="27">
        <v>23378.76</v>
      </c>
      <c r="C107" s="27">
        <v>1936.6100000000001</v>
      </c>
      <c r="D107" s="27">
        <v>1936.61</v>
      </c>
      <c r="E107" s="28">
        <f t="shared" si="2"/>
        <v>8.283630098431226</v>
      </c>
      <c r="F107" s="28">
        <f t="shared" si="3"/>
        <v>99.99999999999999</v>
      </c>
      <c r="G107" s="33">
        <v>16.4</v>
      </c>
      <c r="H107" s="28">
        <f>$D:$D/$G:$G*100</f>
        <v>11808.59756097561</v>
      </c>
      <c r="I107" s="33">
        <f>D107-Январь!D108</f>
        <v>1495.21</v>
      </c>
    </row>
    <row r="108" spans="1:9" ht="12.75">
      <c r="A108" s="8" t="s">
        <v>45</v>
      </c>
      <c r="B108" s="27">
        <v>220930.72</v>
      </c>
      <c r="C108" s="27">
        <v>24358.059999999998</v>
      </c>
      <c r="D108" s="27">
        <v>24267.16</v>
      </c>
      <c r="E108" s="28">
        <f t="shared" si="2"/>
        <v>10.98405871306625</v>
      </c>
      <c r="F108" s="28">
        <f t="shared" si="3"/>
        <v>99.62681757085747</v>
      </c>
      <c r="G108" s="33">
        <v>2464.72706</v>
      </c>
      <c r="H108" s="28">
        <f>$D:$D/$G:$G*100</f>
        <v>984.5779840628682</v>
      </c>
      <c r="I108" s="33">
        <f>D108-Январь!D109</f>
        <v>18611.36</v>
      </c>
    </row>
    <row r="109" spans="1:9" ht="25.5">
      <c r="A109" s="11" t="s">
        <v>46</v>
      </c>
      <c r="B109" s="33">
        <f>B110+B111</f>
        <v>307737.44</v>
      </c>
      <c r="C109" s="33">
        <f>C110+C111</f>
        <v>18475.29</v>
      </c>
      <c r="D109" s="33">
        <f>D110+D111</f>
        <v>18460.04</v>
      </c>
      <c r="E109" s="25">
        <f t="shared" si="2"/>
        <v>5.998633120493886</v>
      </c>
      <c r="F109" s="25">
        <f t="shared" si="3"/>
        <v>99.9174573173141</v>
      </c>
      <c r="G109" s="33">
        <v>20261.74446</v>
      </c>
      <c r="H109" s="25">
        <f>$D:$D/$G:$G*100</f>
        <v>91.10785123385176</v>
      </c>
      <c r="I109" s="33">
        <f>D109-Январь!D110</f>
        <v>13351.390000000001</v>
      </c>
    </row>
    <row r="110" spans="1:9" ht="12.75">
      <c r="A110" s="8" t="s">
        <v>47</v>
      </c>
      <c r="B110" s="27">
        <v>219701.1</v>
      </c>
      <c r="C110" s="27">
        <v>18058.61</v>
      </c>
      <c r="D110" s="27">
        <v>18058.61</v>
      </c>
      <c r="E110" s="28">
        <f t="shared" si="2"/>
        <v>8.219626574468677</v>
      </c>
      <c r="F110" s="28">
        <f t="shared" si="3"/>
        <v>100</v>
      </c>
      <c r="G110" s="33">
        <v>14619.80097</v>
      </c>
      <c r="H110" s="28">
        <f>$D:$D/$G:$G*100</f>
        <v>123.52158580719721</v>
      </c>
      <c r="I110" s="33">
        <f>D110-Январь!D111</f>
        <v>13037.91</v>
      </c>
    </row>
    <row r="111" spans="1:9" ht="25.5">
      <c r="A111" s="8" t="s">
        <v>48</v>
      </c>
      <c r="B111" s="27">
        <v>88036.34</v>
      </c>
      <c r="C111" s="27">
        <v>416.68</v>
      </c>
      <c r="D111" s="27">
        <v>401.43</v>
      </c>
      <c r="E111" s="28">
        <f t="shared" si="2"/>
        <v>0.455982154642049</v>
      </c>
      <c r="F111" s="28">
        <f t="shared" si="3"/>
        <v>96.34011711625227</v>
      </c>
      <c r="G111" s="33">
        <v>14346.506</v>
      </c>
      <c r="H111" s="28">
        <v>0</v>
      </c>
      <c r="I111" s="33">
        <f>D111-Январь!D112</f>
        <v>313.48</v>
      </c>
    </row>
    <row r="112" spans="1:9" ht="12.75">
      <c r="A112" s="11" t="s">
        <v>97</v>
      </c>
      <c r="B112" s="33">
        <f>B113</f>
        <v>163.45</v>
      </c>
      <c r="C112" s="33">
        <f>C113</f>
        <v>0</v>
      </c>
      <c r="D112" s="33">
        <f>D113</f>
        <v>0</v>
      </c>
      <c r="E112" s="25">
        <f t="shared" si="2"/>
        <v>0</v>
      </c>
      <c r="F112" s="25">
        <v>0</v>
      </c>
      <c r="G112" s="33">
        <v>273.29497</v>
      </c>
      <c r="H112" s="25">
        <v>0</v>
      </c>
      <c r="I112" s="33">
        <f>D112-Январь!D113</f>
        <v>0</v>
      </c>
    </row>
    <row r="113" spans="1:9" ht="12.75">
      <c r="A113" s="8" t="s">
        <v>98</v>
      </c>
      <c r="B113" s="27">
        <v>163.45</v>
      </c>
      <c r="C113" s="27">
        <v>0</v>
      </c>
      <c r="D113" s="27">
        <v>0</v>
      </c>
      <c r="E113" s="28">
        <f t="shared" si="2"/>
        <v>0</v>
      </c>
      <c r="F113" s="28">
        <v>0</v>
      </c>
      <c r="G113" s="33">
        <v>0</v>
      </c>
      <c r="H113" s="28">
        <v>0</v>
      </c>
      <c r="I113" s="33">
        <f>D113-Январь!D114</f>
        <v>0</v>
      </c>
    </row>
    <row r="114" spans="1:9" ht="12.75">
      <c r="A114" s="11" t="s">
        <v>49</v>
      </c>
      <c r="B114" s="33">
        <f>B115+B116+B117+B118+B119</f>
        <v>161018.22999999998</v>
      </c>
      <c r="C114" s="33">
        <f>C115+C116+C117+C118+C119</f>
        <v>8698.07</v>
      </c>
      <c r="D114" s="33">
        <f>D115+D116+D117+D118+D119</f>
        <v>8527.4</v>
      </c>
      <c r="E114" s="25">
        <f t="shared" si="2"/>
        <v>5.295922082859811</v>
      </c>
      <c r="F114" s="25">
        <f>$D:$D/$C:$C*100</f>
        <v>98.03784057842716</v>
      </c>
      <c r="G114" s="33">
        <v>0</v>
      </c>
      <c r="H114" s="25">
        <v>0</v>
      </c>
      <c r="I114" s="33">
        <f>D114-Январь!D115</f>
        <v>7823.11</v>
      </c>
    </row>
    <row r="115" spans="1:9" ht="12.75">
      <c r="A115" s="8" t="s">
        <v>50</v>
      </c>
      <c r="B115" s="27">
        <v>3025.38</v>
      </c>
      <c r="C115" s="27">
        <v>188.64</v>
      </c>
      <c r="D115" s="27">
        <v>188.64</v>
      </c>
      <c r="E115" s="28">
        <f t="shared" si="2"/>
        <v>6.2352497868036405</v>
      </c>
      <c r="F115" s="28">
        <v>0</v>
      </c>
      <c r="G115" s="33">
        <v>8758.95276</v>
      </c>
      <c r="H115" s="28">
        <v>0</v>
      </c>
      <c r="I115" s="33">
        <f>D115-Январь!D116</f>
        <v>188.64</v>
      </c>
    </row>
    <row r="116" spans="1:9" ht="12.75" customHeight="1" hidden="1">
      <c r="A116" s="8" t="s">
        <v>51</v>
      </c>
      <c r="B116" s="27"/>
      <c r="C116" s="27"/>
      <c r="D116" s="27"/>
      <c r="E116" s="28" t="e">
        <f t="shared" si="2"/>
        <v>#DIV/0!</v>
      </c>
      <c r="F116" s="28" t="e">
        <f>$D:$D/$C:$C*100</f>
        <v>#DIV/0!</v>
      </c>
      <c r="G116" s="33">
        <v>210.98405</v>
      </c>
      <c r="H116" s="28">
        <f>$D:$D/$G:$G*100</f>
        <v>0</v>
      </c>
      <c r="I116" s="33">
        <f>D116-Январь!D117</f>
        <v>0</v>
      </c>
    </row>
    <row r="117" spans="1:9" ht="12.75">
      <c r="A117" s="8" t="s">
        <v>52</v>
      </c>
      <c r="B117" s="27">
        <v>106012.55</v>
      </c>
      <c r="C117" s="27">
        <v>7672</v>
      </c>
      <c r="D117" s="27">
        <v>7672</v>
      </c>
      <c r="E117" s="28">
        <f t="shared" si="2"/>
        <v>7.236879029888442</v>
      </c>
      <c r="F117" s="28">
        <f>$D:$D/$C:$C*100</f>
        <v>100</v>
      </c>
      <c r="G117" s="33">
        <v>7887</v>
      </c>
      <c r="H117" s="28">
        <v>0</v>
      </c>
      <c r="I117" s="33">
        <f>D117-Январь!D118</f>
        <v>7315</v>
      </c>
    </row>
    <row r="118" spans="1:9" ht="12.75">
      <c r="A118" s="8" t="s">
        <v>53</v>
      </c>
      <c r="B118" s="27">
        <v>49450.5</v>
      </c>
      <c r="C118" s="27">
        <v>605</v>
      </c>
      <c r="D118" s="27">
        <v>513.86</v>
      </c>
      <c r="E118" s="28">
        <f t="shared" si="2"/>
        <v>1.0391401502512614</v>
      </c>
      <c r="F118" s="28">
        <v>0</v>
      </c>
      <c r="G118" s="33">
        <v>512.68483</v>
      </c>
      <c r="H118" s="28">
        <v>0</v>
      </c>
      <c r="I118" s="33">
        <f>D118-Январь!D119</f>
        <v>203.86</v>
      </c>
    </row>
    <row r="119" spans="1:9" ht="12.75">
      <c r="A119" s="8" t="s">
        <v>54</v>
      </c>
      <c r="B119" s="27">
        <v>2529.8</v>
      </c>
      <c r="C119" s="27">
        <v>232.43</v>
      </c>
      <c r="D119" s="27">
        <v>152.9</v>
      </c>
      <c r="E119" s="28">
        <f t="shared" si="2"/>
        <v>6.043956043956044</v>
      </c>
      <c r="F119" s="28">
        <f>$D:$D/$C:$C*100</f>
        <v>65.78324656885944</v>
      </c>
      <c r="G119" s="33">
        <v>148.28388</v>
      </c>
      <c r="H119" s="28">
        <f>$D:$D/$G:$G*100</f>
        <v>103.11302887407585</v>
      </c>
      <c r="I119" s="33">
        <f>D119-Январь!D120</f>
        <v>115.61000000000001</v>
      </c>
    </row>
    <row r="120" spans="1:9" ht="12.75">
      <c r="A120" s="11" t="s">
        <v>61</v>
      </c>
      <c r="B120" s="26">
        <f>B121+B122+B123</f>
        <v>351596.02999999997</v>
      </c>
      <c r="C120" s="27">
        <f>C121+C122+C123</f>
        <v>18709.370000000003</v>
      </c>
      <c r="D120" s="27">
        <f>D121+D122+D123</f>
        <v>18600.64</v>
      </c>
      <c r="E120" s="25">
        <f t="shared" si="2"/>
        <v>5.290344148652646</v>
      </c>
      <c r="F120" s="25">
        <f>$D:$D/$C:$C*100</f>
        <v>99.41884734761244</v>
      </c>
      <c r="G120" s="33">
        <v>10623.72898</v>
      </c>
      <c r="H120" s="25">
        <f>$D:$D/$G:$G*100</f>
        <v>175.085791768758</v>
      </c>
      <c r="I120" s="33">
        <f>D120-Январь!D121</f>
        <v>13225.27</v>
      </c>
    </row>
    <row r="121" spans="1:9" ht="12.75">
      <c r="A121" s="76" t="s">
        <v>63</v>
      </c>
      <c r="B121" s="27">
        <v>290769.31</v>
      </c>
      <c r="C121" s="27">
        <v>10783.57</v>
      </c>
      <c r="D121" s="27">
        <v>10783.57</v>
      </c>
      <c r="E121" s="28">
        <f t="shared" si="2"/>
        <v>3.7086341746314284</v>
      </c>
      <c r="F121" s="28">
        <f>$D:$D/$C:$C*100</f>
        <v>100</v>
      </c>
      <c r="G121" s="33">
        <v>9797.77285</v>
      </c>
      <c r="H121" s="28">
        <v>0</v>
      </c>
      <c r="I121" s="33">
        <f>D121-Январь!D122</f>
        <v>7504.91</v>
      </c>
    </row>
    <row r="122" spans="1:9" ht="24.75" customHeight="1">
      <c r="A122" s="76" t="s">
        <v>154</v>
      </c>
      <c r="B122" s="27">
        <v>55775.05</v>
      </c>
      <c r="C122" s="27">
        <v>7158.56</v>
      </c>
      <c r="D122" s="27">
        <v>7158.56</v>
      </c>
      <c r="E122" s="28">
        <v>0</v>
      </c>
      <c r="F122" s="28">
        <v>0</v>
      </c>
      <c r="G122" s="33">
        <v>372.49014</v>
      </c>
      <c r="H122" s="28">
        <v>0</v>
      </c>
      <c r="I122" s="33">
        <f>D122-Январь!D123</f>
        <v>5319.1</v>
      </c>
    </row>
    <row r="123" spans="1:9" ht="25.5">
      <c r="A123" s="12" t="s">
        <v>73</v>
      </c>
      <c r="B123" s="27">
        <v>5051.67</v>
      </c>
      <c r="C123" s="27">
        <v>767.24</v>
      </c>
      <c r="D123" s="27">
        <v>658.51</v>
      </c>
      <c r="E123" s="28">
        <f>$D:$D/$B:$B*100</f>
        <v>13.035491233592058</v>
      </c>
      <c r="F123" s="28">
        <f>$D:$D/$C:$C*100</f>
        <v>85.82842396121161</v>
      </c>
      <c r="G123" s="33">
        <v>453.46599</v>
      </c>
      <c r="H123" s="28">
        <v>0</v>
      </c>
      <c r="I123" s="33">
        <f>D123-Январь!D124</f>
        <v>401.26</v>
      </c>
    </row>
    <row r="124" spans="1:9" ht="26.25" customHeight="1">
      <c r="A124" s="13" t="s">
        <v>80</v>
      </c>
      <c r="B124" s="26">
        <f>B125</f>
        <v>100</v>
      </c>
      <c r="C124" s="26">
        <f>C125</f>
        <v>5.75</v>
      </c>
      <c r="D124" s="26">
        <f>D125</f>
        <v>5.75</v>
      </c>
      <c r="E124" s="28">
        <f>$D:$D/$B:$B*100</f>
        <v>5.75</v>
      </c>
      <c r="F124" s="28">
        <v>0</v>
      </c>
      <c r="G124" s="33">
        <v>2.01384</v>
      </c>
      <c r="H124" s="28">
        <v>0</v>
      </c>
      <c r="I124" s="33">
        <f>D124-Январь!D125</f>
        <v>5.75</v>
      </c>
    </row>
    <row r="125" spans="1:9" ht="13.5" customHeight="1">
      <c r="A125" s="12" t="s">
        <v>81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v>2.01384</v>
      </c>
      <c r="H125" s="28">
        <v>0</v>
      </c>
      <c r="I125" s="33">
        <f>D125-Январь!D126</f>
        <v>5.75</v>
      </c>
    </row>
    <row r="126" spans="1:9" ht="15.75" customHeight="1">
      <c r="A126" s="14" t="s">
        <v>55</v>
      </c>
      <c r="B126" s="33">
        <f>B79+B88+B89+B90+B95+B102+B109+B112+B114+B120+B124+B100</f>
        <v>3683540.8</v>
      </c>
      <c r="C126" s="33">
        <f>C79+C88+C89+C90+C95+C102+C109+C112+C114+C120+C124+C100</f>
        <v>345022.18</v>
      </c>
      <c r="D126" s="33">
        <f>D79+D88+D89+D90+D95+D102+D109+D112+D114+D120+D124+D100</f>
        <v>339783.27</v>
      </c>
      <c r="E126" s="25">
        <f>$D:$D/$B:$B*100</f>
        <v>9.224365588674898</v>
      </c>
      <c r="F126" s="25">
        <f>$D:$D/$C:$C*100</f>
        <v>98.48157298177179</v>
      </c>
      <c r="G126" s="33">
        <v>242942.72780000002</v>
      </c>
      <c r="H126" s="25">
        <f>$D:$D/$G:$G*100</f>
        <v>139.86146985215498</v>
      </c>
      <c r="I126" s="33">
        <f>D126-Январь!D127</f>
        <v>264864.21</v>
      </c>
    </row>
    <row r="127" spans="1:9" ht="26.25" customHeight="1">
      <c r="A127" s="79" t="s">
        <v>56</v>
      </c>
      <c r="B127" s="80">
        <f>B73-B126</f>
        <v>-125350.23999999976</v>
      </c>
      <c r="C127" s="80">
        <f>C73-C126</f>
        <v>-31064.140000000014</v>
      </c>
      <c r="D127" s="80">
        <f>D73-D126</f>
        <v>27826.380000000005</v>
      </c>
      <c r="E127" s="80"/>
      <c r="F127" s="80"/>
      <c r="G127" s="80">
        <v>52519.868679999985</v>
      </c>
      <c r="H127" s="80"/>
      <c r="I127" s="80">
        <f>I73-I126</f>
        <v>57395.859999999986</v>
      </c>
    </row>
    <row r="128" spans="1:9" ht="24" customHeight="1">
      <c r="A128" s="1" t="s">
        <v>57</v>
      </c>
      <c r="B128" s="27" t="s">
        <v>159</v>
      </c>
      <c r="C128" s="27"/>
      <c r="D128" s="27" t="s">
        <v>158</v>
      </c>
      <c r="E128" s="27"/>
      <c r="F128" s="27"/>
      <c r="G128" s="27" t="s">
        <v>160</v>
      </c>
      <c r="H128" s="26"/>
      <c r="I128" s="27"/>
    </row>
    <row r="129" spans="1:9" ht="12.75">
      <c r="A129" s="3" t="s">
        <v>58</v>
      </c>
      <c r="B129" s="77">
        <f>B131+B132</f>
        <v>99223.6</v>
      </c>
      <c r="C129" s="77">
        <f aca="true" t="shared" si="4" ref="C129:H129">C131+C132</f>
        <v>0</v>
      </c>
      <c r="D129" s="77">
        <f t="shared" si="4"/>
        <v>92049.9</v>
      </c>
      <c r="E129" s="77">
        <f t="shared" si="4"/>
        <v>0</v>
      </c>
      <c r="F129" s="77">
        <f t="shared" si="4"/>
        <v>0</v>
      </c>
      <c r="G129" s="77">
        <v>83341.6</v>
      </c>
      <c r="H129" s="77">
        <f t="shared" si="4"/>
        <v>0</v>
      </c>
      <c r="I129" s="26">
        <f>I131+I132</f>
        <v>92049.9</v>
      </c>
    </row>
    <row r="130" spans="1:9" ht="12" customHeight="1">
      <c r="A130" s="1" t="s">
        <v>6</v>
      </c>
      <c r="B130" s="78"/>
      <c r="C130" s="27"/>
      <c r="D130" s="27" t="s">
        <v>148</v>
      </c>
      <c r="E130" s="27"/>
      <c r="F130" s="27"/>
      <c r="G130" s="27"/>
      <c r="H130" s="35"/>
      <c r="I130" s="27"/>
    </row>
    <row r="131" spans="1:9" ht="12.75">
      <c r="A131" s="5" t="s">
        <v>59</v>
      </c>
      <c r="B131" s="78">
        <v>53815.7</v>
      </c>
      <c r="C131" s="27"/>
      <c r="D131" s="27">
        <v>45806.8</v>
      </c>
      <c r="E131" s="27"/>
      <c r="F131" s="27"/>
      <c r="G131" s="27">
        <v>3594.5</v>
      </c>
      <c r="H131" s="35"/>
      <c r="I131" s="27">
        <f>D131</f>
        <v>45806.8</v>
      </c>
    </row>
    <row r="132" spans="1:9" ht="12.75">
      <c r="A132" s="1" t="s">
        <v>60</v>
      </c>
      <c r="B132" s="78">
        <f>99223.6-B131</f>
        <v>45407.90000000001</v>
      </c>
      <c r="C132" s="27"/>
      <c r="D132" s="27">
        <f>92049.9-D131</f>
        <v>46243.09999999999</v>
      </c>
      <c r="E132" s="27"/>
      <c r="F132" s="27"/>
      <c r="G132" s="27">
        <v>79747.1</v>
      </c>
      <c r="H132" s="35"/>
      <c r="I132" s="27">
        <f>D132</f>
        <v>46243.09999999999</v>
      </c>
    </row>
    <row r="133" spans="1:9" ht="12.75">
      <c r="A133" s="3" t="s">
        <v>99</v>
      </c>
      <c r="B133" s="26">
        <f>B134-B135</f>
        <v>22950</v>
      </c>
      <c r="C133" s="26">
        <f aca="true" t="shared" si="5" ref="C133:H133">C134-C135</f>
        <v>-35000</v>
      </c>
      <c r="D133" s="26">
        <f t="shared" si="5"/>
        <v>-35000</v>
      </c>
      <c r="E133" s="26">
        <f t="shared" si="5"/>
        <v>0</v>
      </c>
      <c r="F133" s="26">
        <f t="shared" si="5"/>
        <v>0</v>
      </c>
      <c r="G133" s="26">
        <v>-12050</v>
      </c>
      <c r="H133" s="26">
        <f t="shared" si="5"/>
        <v>0</v>
      </c>
      <c r="I133" s="38"/>
    </row>
    <row r="134" spans="1:9" ht="12.75">
      <c r="A134" s="2" t="s">
        <v>100</v>
      </c>
      <c r="B134" s="27">
        <v>35000</v>
      </c>
      <c r="C134" s="27">
        <v>0</v>
      </c>
      <c r="D134" s="27">
        <v>0</v>
      </c>
      <c r="E134" s="36"/>
      <c r="F134" s="36"/>
      <c r="G134" s="27">
        <v>0</v>
      </c>
      <c r="H134" s="37"/>
      <c r="I134" s="36">
        <v>0</v>
      </c>
    </row>
    <row r="135" spans="1:9" ht="12.75">
      <c r="A135" s="2" t="s">
        <v>101</v>
      </c>
      <c r="B135" s="27">
        <v>12050</v>
      </c>
      <c r="C135" s="27">
        <v>35000</v>
      </c>
      <c r="D135" s="27">
        <v>35000</v>
      </c>
      <c r="E135" s="36"/>
      <c r="F135" s="36"/>
      <c r="G135" s="27">
        <v>12050</v>
      </c>
      <c r="H135" s="37"/>
      <c r="I135" s="36">
        <v>0</v>
      </c>
    </row>
    <row r="136" spans="1:9" ht="12.75">
      <c r="A136" s="15"/>
      <c r="B136" s="24"/>
      <c r="C136" s="24"/>
      <c r="D136" s="24"/>
      <c r="E136" s="24"/>
      <c r="F136" s="24"/>
      <c r="G136" s="24"/>
      <c r="H136" s="24"/>
      <c r="I136" s="24"/>
    </row>
    <row r="138" ht="12" customHeight="1">
      <c r="A138" s="21" t="s">
        <v>79</v>
      </c>
    </row>
    <row r="139" ht="12.75" customHeight="1" hidden="1"/>
    <row r="141" spans="1:9" ht="31.5">
      <c r="A141" s="16" t="s">
        <v>103</v>
      </c>
      <c r="B141" s="23"/>
      <c r="C141" s="23"/>
      <c r="D141" s="23" t="s">
        <v>137</v>
      </c>
      <c r="E141" s="23"/>
      <c r="F141" s="23"/>
      <c r="G141" s="23"/>
      <c r="H141" s="23"/>
      <c r="I141" s="24"/>
    </row>
  </sheetData>
  <sheetProtection/>
  <mergeCells count="5">
    <mergeCell ref="A1:H1"/>
    <mergeCell ref="A2:H2"/>
    <mergeCell ref="A3:H3"/>
    <mergeCell ref="A6:I6"/>
    <mergeCell ref="A78:I78"/>
  </mergeCells>
  <printOptions/>
  <pageMargins left="0.3937007874015748" right="0.15748031496062992" top="0" bottom="0" header="0.35433070866141736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H4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1" t="s">
        <v>102</v>
      </c>
      <c r="B1" s="111"/>
      <c r="C1" s="111"/>
      <c r="D1" s="111"/>
      <c r="E1" s="111"/>
      <c r="F1" s="111"/>
      <c r="G1" s="111"/>
      <c r="H1" s="111"/>
      <c r="I1" s="86"/>
    </row>
    <row r="2" spans="1:9" ht="12.75">
      <c r="A2" s="112" t="s">
        <v>163</v>
      </c>
      <c r="B2" s="112"/>
      <c r="C2" s="112"/>
      <c r="D2" s="112"/>
      <c r="E2" s="112"/>
      <c r="F2" s="112"/>
      <c r="G2" s="112"/>
      <c r="H2" s="112"/>
      <c r="I2" s="87"/>
    </row>
    <row r="3" spans="1:9" ht="5.25" customHeight="1" hidden="1">
      <c r="A3" s="107" t="s">
        <v>0</v>
      </c>
      <c r="B3" s="107"/>
      <c r="C3" s="107"/>
      <c r="D3" s="107"/>
      <c r="E3" s="107"/>
      <c r="F3" s="107"/>
      <c r="G3" s="107"/>
      <c r="H3" s="107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3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46" t="s">
        <v>104</v>
      </c>
      <c r="B7" s="33">
        <f>B8+B17+B22+B27+B30+B38+B47+B48+B49+B53+B64</f>
        <v>722378.16</v>
      </c>
      <c r="C7" s="33">
        <f>C8+C17+C22+C27+C30+C38+C47+C48+C49+C53+C64</f>
        <v>105759.7</v>
      </c>
      <c r="D7" s="33">
        <f>D8+D17+D22+D27+D30+D38+D47+D48+D49+D53+D64+D37</f>
        <v>123074.50000000003</v>
      </c>
      <c r="E7" s="25">
        <f>D7/B7*100</f>
        <v>17.037406003525913</v>
      </c>
      <c r="F7" s="25">
        <v>27699.089999999997</v>
      </c>
      <c r="G7" s="33">
        <f>G8+G17+G22+G27+G30+G37+G46+G47+G48+G52+G63</f>
        <v>159277.89248000004</v>
      </c>
      <c r="H7" s="25">
        <f>C7/G7*100</f>
        <v>66.39948479559388</v>
      </c>
      <c r="I7" s="33">
        <f>D7-Февраль!D7</f>
        <v>95792.56000000003</v>
      </c>
    </row>
    <row r="8" spans="1:9" ht="12.75">
      <c r="A8" s="47" t="s">
        <v>4</v>
      </c>
      <c r="B8" s="25">
        <f>B9+B10</f>
        <v>365325.60000000003</v>
      </c>
      <c r="C8" s="25">
        <f>C9+C10</f>
        <v>53091</v>
      </c>
      <c r="D8" s="25">
        <f>D9+D10</f>
        <v>65152.500000000015</v>
      </c>
      <c r="E8" s="25">
        <f aca="true" t="shared" si="0" ref="E8:E73">D8/B8*100</f>
        <v>17.8340910136054</v>
      </c>
      <c r="F8" s="25">
        <v>10645.39</v>
      </c>
      <c r="G8" s="25">
        <f>G9+G10</f>
        <v>110052.13650000001</v>
      </c>
      <c r="H8" s="25">
        <f aca="true" t="shared" si="1" ref="H8:H73">C8/G8*100</f>
        <v>48.241680432982776</v>
      </c>
      <c r="I8" s="33">
        <f>D8-Февраль!D8</f>
        <v>49114.80000000002</v>
      </c>
    </row>
    <row r="9" spans="1:9" ht="25.5">
      <c r="A9" s="54" t="s">
        <v>5</v>
      </c>
      <c r="B9" s="27">
        <v>8631</v>
      </c>
      <c r="C9" s="27">
        <v>1550</v>
      </c>
      <c r="D9" s="27">
        <v>4320.8</v>
      </c>
      <c r="E9" s="27">
        <f t="shared" si="0"/>
        <v>50.061406557756925</v>
      </c>
      <c r="F9" s="25">
        <v>200.86</v>
      </c>
      <c r="G9" s="26">
        <f>2018091.26/1000</f>
        <v>2018.09126</v>
      </c>
      <c r="H9" s="25">
        <f t="shared" si="1"/>
        <v>76.80524814323807</v>
      </c>
      <c r="I9" s="33">
        <f>D9-Февраль!D9</f>
        <v>3930.61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51541</v>
      </c>
      <c r="D10" s="33">
        <f>SUM(D11:D16)</f>
        <v>60831.70000000001</v>
      </c>
      <c r="E10" s="25">
        <f t="shared" si="0"/>
        <v>17.054281169381316</v>
      </c>
      <c r="F10" s="25">
        <v>10444.529999999999</v>
      </c>
      <c r="G10" s="33">
        <f>SUM(G11:G15)</f>
        <v>108034.04524</v>
      </c>
      <c r="H10" s="25">
        <f t="shared" si="1"/>
        <v>47.70810894426894</v>
      </c>
      <c r="I10" s="33">
        <f>D10-Февраль!D10</f>
        <v>45184.19000000002</v>
      </c>
    </row>
    <row r="11" spans="1:9" ht="51">
      <c r="A11" s="51" t="s">
        <v>74</v>
      </c>
      <c r="B11" s="27">
        <v>336860.2</v>
      </c>
      <c r="C11" s="27">
        <v>47000</v>
      </c>
      <c r="D11" s="27">
        <v>59705.3</v>
      </c>
      <c r="E11" s="27">
        <f t="shared" si="0"/>
        <v>17.724058823215092</v>
      </c>
      <c r="F11" s="27">
        <v>10058</v>
      </c>
      <c r="G11" s="27">
        <f>59420453.9/1000</f>
        <v>59420.4539</v>
      </c>
      <c r="H11" s="25">
        <f t="shared" si="1"/>
        <v>79.09734260713886</v>
      </c>
      <c r="I11" s="33">
        <f>D11-Февраль!D11</f>
        <v>44168.8</v>
      </c>
    </row>
    <row r="12" spans="1:9" ht="51" customHeight="1">
      <c r="A12" s="51" t="s">
        <v>75</v>
      </c>
      <c r="B12" s="27">
        <v>1745</v>
      </c>
      <c r="C12" s="27">
        <v>81</v>
      </c>
      <c r="D12" s="27">
        <v>-166.2</v>
      </c>
      <c r="E12" s="27">
        <f t="shared" si="0"/>
        <v>-9.524355300859598</v>
      </c>
      <c r="F12" s="27">
        <v>81.56</v>
      </c>
      <c r="G12" s="27">
        <f>115505.25/1000</f>
        <v>115.50525</v>
      </c>
      <c r="H12" s="25">
        <f t="shared" si="1"/>
        <v>70.12668255339042</v>
      </c>
      <c r="I12" s="33">
        <f>D12-Февраль!D12</f>
        <v>47.07000000000002</v>
      </c>
    </row>
    <row r="13" spans="1:9" ht="25.5">
      <c r="A13" s="51" t="s">
        <v>76</v>
      </c>
      <c r="B13" s="27">
        <v>5600.4</v>
      </c>
      <c r="C13" s="27">
        <v>1180</v>
      </c>
      <c r="D13" s="27">
        <v>-48.7</v>
      </c>
      <c r="E13" s="27">
        <f t="shared" si="0"/>
        <v>-0.8695807442325549</v>
      </c>
      <c r="F13" s="27">
        <v>117.15</v>
      </c>
      <c r="G13" s="27">
        <f>1130172.48/1000</f>
        <v>1130.17248</v>
      </c>
      <c r="H13" s="25">
        <f t="shared" si="1"/>
        <v>104.40884209107624</v>
      </c>
      <c r="I13" s="33">
        <f>D13-Февраль!D13</f>
        <v>133.08999999999997</v>
      </c>
    </row>
    <row r="14" spans="1:9" ht="63.75">
      <c r="A14" s="51" t="s">
        <v>78</v>
      </c>
      <c r="B14" s="27">
        <v>3850</v>
      </c>
      <c r="C14" s="27">
        <v>780</v>
      </c>
      <c r="D14" s="27">
        <v>827.3</v>
      </c>
      <c r="E14" s="27">
        <f t="shared" si="0"/>
        <v>21.488311688311686</v>
      </c>
      <c r="F14" s="27">
        <v>187.82</v>
      </c>
      <c r="G14" s="27">
        <f>806020.05/1000</f>
        <v>806.0200500000001</v>
      </c>
      <c r="H14" s="25">
        <f t="shared" si="1"/>
        <v>96.77178626015568</v>
      </c>
      <c r="I14" s="33">
        <f>D14-Февраль!D14</f>
        <v>364.80999999999995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305.2</v>
      </c>
      <c r="E15" s="27">
        <f t="shared" si="0"/>
        <v>3.5328162981826603</v>
      </c>
      <c r="F15" s="27"/>
      <c r="G15" s="34">
        <f>46561893.56/1000</f>
        <v>46561.893560000004</v>
      </c>
      <c r="H15" s="25">
        <f t="shared" si="1"/>
        <v>5.3691974463591805</v>
      </c>
      <c r="I15" s="33">
        <f>D15-Февраль!D15</f>
        <v>261.62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208.8</v>
      </c>
      <c r="E16" s="27">
        <v>0</v>
      </c>
      <c r="F16" s="27"/>
      <c r="G16" s="34">
        <v>0</v>
      </c>
      <c r="H16" s="25">
        <v>0</v>
      </c>
      <c r="I16" s="33">
        <f>D16-Февраль!D16</f>
        <v>-7303.75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12210</v>
      </c>
      <c r="D17" s="26">
        <f>SUM(D18:D21)</f>
        <v>15886.6</v>
      </c>
      <c r="E17" s="25">
        <f t="shared" si="0"/>
        <v>26.885674704084277</v>
      </c>
      <c r="F17" s="25">
        <v>1853.18</v>
      </c>
      <c r="G17" s="26">
        <f>SUM(G18:G21)</f>
        <v>14336.207300000002</v>
      </c>
      <c r="H17" s="25">
        <f t="shared" si="1"/>
        <v>85.16896934100554</v>
      </c>
      <c r="I17" s="33">
        <f>D17-Февраль!D16</f>
        <v>8374.05</v>
      </c>
    </row>
    <row r="18" spans="1:9" ht="37.5" customHeight="1">
      <c r="A18" s="37" t="s">
        <v>83</v>
      </c>
      <c r="B18" s="27">
        <v>27987.73</v>
      </c>
      <c r="C18" s="27">
        <v>5545</v>
      </c>
      <c r="D18" s="27">
        <v>8167</v>
      </c>
      <c r="E18" s="27">
        <f t="shared" si="0"/>
        <v>29.18064451815135</v>
      </c>
      <c r="F18" s="27">
        <v>844.23</v>
      </c>
      <c r="G18" s="83">
        <f>6885031.15/1000</f>
        <v>6885.031150000001</v>
      </c>
      <c r="H18" s="25">
        <f t="shared" si="1"/>
        <v>80.53703576925719</v>
      </c>
      <c r="I18" s="33">
        <f>D18-Февраль!D17</f>
        <v>4256.860000000001</v>
      </c>
    </row>
    <row r="19" spans="1:9" ht="56.25" customHeight="1">
      <c r="A19" s="37" t="s">
        <v>84</v>
      </c>
      <c r="B19" s="27">
        <v>194.4</v>
      </c>
      <c r="C19" s="27">
        <v>45</v>
      </c>
      <c r="D19" s="27">
        <v>33.5</v>
      </c>
      <c r="E19" s="27">
        <f t="shared" si="0"/>
        <v>17.232510288065843</v>
      </c>
      <c r="F19" s="27">
        <v>5.74</v>
      </c>
      <c r="G19" s="83">
        <f>44117.58/1000</f>
        <v>44.117580000000004</v>
      </c>
      <c r="H19" s="25">
        <f t="shared" si="1"/>
        <v>102.00015504023565</v>
      </c>
      <c r="I19" s="33">
        <f>D19-Февраль!D18</f>
        <v>19.39</v>
      </c>
    </row>
    <row r="20" spans="1:9" ht="55.5" customHeight="1">
      <c r="A20" s="37" t="s">
        <v>85</v>
      </c>
      <c r="B20" s="27">
        <v>34598.53</v>
      </c>
      <c r="C20" s="27">
        <v>7550</v>
      </c>
      <c r="D20" s="27">
        <v>8732.7</v>
      </c>
      <c r="E20" s="27">
        <f t="shared" si="0"/>
        <v>25.24008968011069</v>
      </c>
      <c r="F20" s="27">
        <v>1158.41</v>
      </c>
      <c r="G20" s="83">
        <f>8330774.04/1000</f>
        <v>8330.77404</v>
      </c>
      <c r="H20" s="25">
        <f t="shared" si="1"/>
        <v>90.62783318511421</v>
      </c>
      <c r="I20" s="33">
        <f>D20-Февраль!D19</f>
        <v>4749.35</v>
      </c>
    </row>
    <row r="21" spans="1:9" ht="15.75" customHeight="1">
      <c r="A21" s="37" t="s">
        <v>86</v>
      </c>
      <c r="B21" s="27">
        <v>-3691.2</v>
      </c>
      <c r="C21" s="27">
        <v>-930</v>
      </c>
      <c r="D21" s="27">
        <v>-1046.6</v>
      </c>
      <c r="E21" s="27">
        <f t="shared" si="0"/>
        <v>28.35392284351972</v>
      </c>
      <c r="F21" s="27">
        <v>-155.2</v>
      </c>
      <c r="G21" s="83">
        <f>-923715.47/1000</f>
        <v>-923.71547</v>
      </c>
      <c r="H21" s="25">
        <f t="shared" si="1"/>
        <v>100.68035344260284</v>
      </c>
      <c r="I21" s="33">
        <f>D21-Февраль!D20</f>
        <v>-651.55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23200</v>
      </c>
      <c r="D22" s="26">
        <f>SUM(D23:D26)</f>
        <v>20327.9</v>
      </c>
      <c r="E22" s="25">
        <f t="shared" si="0"/>
        <v>13.6464303144508</v>
      </c>
      <c r="F22" s="25">
        <v>7362.96</v>
      </c>
      <c r="G22" s="26">
        <f>SUM(G23:G26)</f>
        <v>24687.845930000003</v>
      </c>
      <c r="H22" s="25">
        <f t="shared" si="1"/>
        <v>93.97336675618179</v>
      </c>
      <c r="I22" s="33">
        <f>D22-Февраль!D21</f>
        <v>23193.4</v>
      </c>
    </row>
    <row r="23" spans="1:9" ht="28.5" customHeight="1">
      <c r="A23" s="51" t="s">
        <v>146</v>
      </c>
      <c r="B23" s="27">
        <v>116885.1</v>
      </c>
      <c r="C23" s="27">
        <v>15500</v>
      </c>
      <c r="D23" s="27">
        <v>21650.9</v>
      </c>
      <c r="E23" s="27">
        <f t="shared" si="0"/>
        <v>18.52323350024939</v>
      </c>
      <c r="F23" s="27"/>
      <c r="G23" s="27">
        <f>16433323.62/1000</f>
        <v>16433.32362</v>
      </c>
      <c r="H23" s="25">
        <f t="shared" si="1"/>
        <v>94.32054256593531</v>
      </c>
      <c r="I23" s="33">
        <f>D23-Февраль!D22</f>
        <v>22190.47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-685.5</v>
      </c>
      <c r="E24" s="27" t="s">
        <v>148</v>
      </c>
      <c r="F24" s="27">
        <v>7198.75</v>
      </c>
      <c r="G24" s="27">
        <f>67489.42/1000</f>
        <v>67.48942</v>
      </c>
      <c r="H24" s="25">
        <f t="shared" si="1"/>
        <v>0</v>
      </c>
      <c r="I24" s="33">
        <f>D24-Февраль!D23</f>
        <v>113.05999999999995</v>
      </c>
    </row>
    <row r="25" spans="1:9" ht="15" customHeight="1">
      <c r="A25" s="51" t="s">
        <v>87</v>
      </c>
      <c r="B25" s="27">
        <v>715</v>
      </c>
      <c r="C25" s="27">
        <v>0</v>
      </c>
      <c r="D25" s="27">
        <v>419.9</v>
      </c>
      <c r="E25" s="27">
        <f t="shared" si="0"/>
        <v>58.72727272727273</v>
      </c>
      <c r="F25" s="27">
        <v>113.58</v>
      </c>
      <c r="G25" s="34">
        <f>270118.75/1000</f>
        <v>270.11875</v>
      </c>
      <c r="H25" s="25">
        <f t="shared" si="1"/>
        <v>0</v>
      </c>
      <c r="I25" s="33">
        <f>D25-Февраль!D24</f>
        <v>420.13</v>
      </c>
    </row>
    <row r="26" spans="1:9" ht="27" customHeight="1">
      <c r="A26" s="51" t="s">
        <v>88</v>
      </c>
      <c r="B26" s="27">
        <v>31361.2</v>
      </c>
      <c r="C26" s="27">
        <v>7700</v>
      </c>
      <c r="D26" s="27">
        <v>-1057.4</v>
      </c>
      <c r="E26" s="27">
        <f t="shared" si="0"/>
        <v>-3.3716822060380345</v>
      </c>
      <c r="F26" s="27">
        <v>50.63</v>
      </c>
      <c r="G26" s="27">
        <f>7916914.14/1000</f>
        <v>7916.91414</v>
      </c>
      <c r="H26" s="25">
        <f t="shared" si="1"/>
        <v>97.26011756393761</v>
      </c>
      <c r="I26" s="33">
        <f>D26-Февраль!D25</f>
        <v>469.74</v>
      </c>
    </row>
    <row r="27" spans="1:9" ht="12.75">
      <c r="A27" s="54" t="s">
        <v>8</v>
      </c>
      <c r="B27" s="26">
        <f>SUM(B28:B29)</f>
        <v>42454.6</v>
      </c>
      <c r="C27" s="26">
        <f>SUM(C28:C29)</f>
        <v>4200</v>
      </c>
      <c r="D27" s="26">
        <f>SUM(D28:D29)</f>
        <v>3821.6</v>
      </c>
      <c r="E27" s="25">
        <f t="shared" si="0"/>
        <v>9.00161584374838</v>
      </c>
      <c r="F27" s="25">
        <v>2465.82</v>
      </c>
      <c r="G27" s="26">
        <f>SUM(G28:G29)</f>
        <v>4871.59875</v>
      </c>
      <c r="H27" s="25">
        <f t="shared" si="1"/>
        <v>86.21399699636592</v>
      </c>
      <c r="I27" s="33">
        <f>D27-Февраль!D26</f>
        <v>2797.98</v>
      </c>
    </row>
    <row r="28" spans="1:9" ht="12.75">
      <c r="A28" s="51" t="s">
        <v>106</v>
      </c>
      <c r="B28" s="27">
        <v>24668.5</v>
      </c>
      <c r="C28" s="27">
        <v>1700</v>
      </c>
      <c r="D28" s="27">
        <v>1483.1</v>
      </c>
      <c r="E28" s="27">
        <f t="shared" si="0"/>
        <v>6.012120720757241</v>
      </c>
      <c r="F28" s="27">
        <v>536.1</v>
      </c>
      <c r="G28" s="34">
        <f>2008973.14/1000</f>
        <v>2008.9731399999998</v>
      </c>
      <c r="H28" s="25">
        <f t="shared" si="1"/>
        <v>84.62034489918567</v>
      </c>
      <c r="I28" s="33">
        <f>D28-Февраль!D27</f>
        <v>699.2699999999999</v>
      </c>
    </row>
    <row r="29" spans="1:9" ht="12.75">
      <c r="A29" s="51" t="s">
        <v>107</v>
      </c>
      <c r="B29" s="27">
        <v>17786.1</v>
      </c>
      <c r="C29" s="27">
        <v>2500</v>
      </c>
      <c r="D29" s="27">
        <v>2338.5</v>
      </c>
      <c r="E29" s="27">
        <f t="shared" si="0"/>
        <v>13.14790763573802</v>
      </c>
      <c r="F29" s="27">
        <v>1929.72</v>
      </c>
      <c r="G29" s="27">
        <f>2862625.61/1000</f>
        <v>2862.62561</v>
      </c>
      <c r="H29" s="25">
        <f t="shared" si="1"/>
        <v>87.33241228845151</v>
      </c>
      <c r="I29" s="33">
        <f>D29-Февраль!D28</f>
        <v>2098.71</v>
      </c>
    </row>
    <row r="30" spans="1:9" ht="12.75">
      <c r="A30" s="47" t="s">
        <v>9</v>
      </c>
      <c r="B30" s="26">
        <f>SUM(B31:B33)</f>
        <v>15600</v>
      </c>
      <c r="C30" s="26">
        <f>SUM(C31:C33)</f>
        <v>3005</v>
      </c>
      <c r="D30" s="26">
        <f>SUM(D31:D33)</f>
        <v>4200.5</v>
      </c>
      <c r="E30" s="26">
        <f t="shared" si="0"/>
        <v>26.92628205128205</v>
      </c>
      <c r="F30" s="26">
        <v>793.07</v>
      </c>
      <c r="G30" s="27">
        <f>SUM(G31:G33)</f>
        <v>3688.88297</v>
      </c>
      <c r="H30" s="25">
        <f t="shared" si="1"/>
        <v>81.46097407909907</v>
      </c>
      <c r="I30" s="33">
        <f>D30-Февраль!D29</f>
        <v>1880.1100000000001</v>
      </c>
    </row>
    <row r="31" spans="1:9" ht="25.5">
      <c r="A31" s="51" t="s">
        <v>10</v>
      </c>
      <c r="B31" s="27">
        <v>15550</v>
      </c>
      <c r="C31" s="27">
        <v>3000</v>
      </c>
      <c r="D31" s="27">
        <v>4180.5</v>
      </c>
      <c r="E31" s="27">
        <f t="shared" si="0"/>
        <v>26.884244372990352</v>
      </c>
      <c r="F31" s="27">
        <v>793.07</v>
      </c>
      <c r="G31" s="27">
        <f>3647682.97/1000</f>
        <v>3647.6829700000003</v>
      </c>
      <c r="H31" s="25">
        <f t="shared" si="1"/>
        <v>82.24398953179859</v>
      </c>
      <c r="I31" s="33">
        <f>D31-Февраль!D30</f>
        <v>1875.1100000000001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83">
        <f>30000/1000</f>
        <v>30</v>
      </c>
      <c r="H32" s="25">
        <f t="shared" si="1"/>
        <v>0</v>
      </c>
      <c r="I32" s="33">
        <f>D32-Февраль!D31</f>
        <v>0</v>
      </c>
    </row>
    <row r="33" spans="1:9" ht="25.5">
      <c r="A33" s="51" t="s">
        <v>90</v>
      </c>
      <c r="B33" s="27">
        <v>50</v>
      </c>
      <c r="C33" s="27">
        <v>5</v>
      </c>
      <c r="D33" s="27">
        <v>20</v>
      </c>
      <c r="E33" s="27">
        <f t="shared" si="0"/>
        <v>40</v>
      </c>
      <c r="F33" s="27">
        <v>0</v>
      </c>
      <c r="G33" s="83">
        <f>11200/1000</f>
        <v>11.2</v>
      </c>
      <c r="H33" s="25">
        <f t="shared" si="1"/>
        <v>44.642857142857146</v>
      </c>
      <c r="I33" s="33">
        <f>D33-Февраль!D32</f>
        <v>5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27">
        <v>0.02</v>
      </c>
      <c r="H34" s="25">
        <f t="shared" si="1"/>
        <v>0</v>
      </c>
      <c r="I34" s="33">
        <f>D34-Февраль!D33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v>0.02</v>
      </c>
      <c r="H35" s="25">
        <f t="shared" si="1"/>
        <v>0</v>
      </c>
      <c r="I35" s="33">
        <f>D35-Февраль!D34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27">
        <v>0</v>
      </c>
      <c r="H36" s="25" t="e">
        <f t="shared" si="1"/>
        <v>#DIV/0!</v>
      </c>
      <c r="I36" s="33">
        <f>D36-Февраль!D35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27">
        <v>0</v>
      </c>
      <c r="H37" s="25">
        <v>0</v>
      </c>
      <c r="I37" s="33">
        <f>D37-Февраль!D36</f>
        <v>8.94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15184.4</v>
      </c>
      <c r="D38" s="26">
        <f>SUM(D40:D46)</f>
        <v>12052.5</v>
      </c>
      <c r="E38" s="26">
        <f t="shared" si="0"/>
        <v>20.887302668930232</v>
      </c>
      <c r="F38" s="26">
        <v>3247.05</v>
      </c>
      <c r="G38" s="26">
        <f>SUM(G40:G46)</f>
        <v>10853.76394</v>
      </c>
      <c r="H38" s="25">
        <f t="shared" si="1"/>
        <v>139.89985487007007</v>
      </c>
      <c r="I38" s="33">
        <f>D38-Февраль!D37</f>
        <v>3839.1099999999988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27"/>
      <c r="H39" s="25" t="e">
        <f t="shared" si="1"/>
        <v>#DIV/0!</v>
      </c>
      <c r="I39" s="33">
        <f>D39-Февраль!D38</f>
        <v>0</v>
      </c>
    </row>
    <row r="40" spans="1:9" ht="76.5">
      <c r="A40" s="51" t="s">
        <v>117</v>
      </c>
      <c r="B40" s="27">
        <v>29271.18</v>
      </c>
      <c r="C40" s="27">
        <v>7317.5</v>
      </c>
      <c r="D40" s="27">
        <v>5413.4</v>
      </c>
      <c r="E40" s="27">
        <f t="shared" si="0"/>
        <v>18.493958904287425</v>
      </c>
      <c r="F40" s="27">
        <v>2393.3</v>
      </c>
      <c r="G40" s="27">
        <f>6241904.19/1000</f>
        <v>6241.90419</v>
      </c>
      <c r="H40" s="25">
        <f t="shared" si="1"/>
        <v>117.23185389040711</v>
      </c>
      <c r="I40" s="33">
        <f>D40-Февраль!D39</f>
        <v>2254.0699999999997</v>
      </c>
    </row>
    <row r="41" spans="1:9" ht="76.5">
      <c r="A41" s="51" t="s">
        <v>125</v>
      </c>
      <c r="B41" s="27">
        <v>5434.31</v>
      </c>
      <c r="C41" s="27">
        <v>1358.6</v>
      </c>
      <c r="D41" s="27">
        <v>1324.8</v>
      </c>
      <c r="E41" s="27">
        <f t="shared" si="0"/>
        <v>24.378439949137977</v>
      </c>
      <c r="F41" s="27">
        <v>75.44</v>
      </c>
      <c r="G41" s="83">
        <f>683058.55/1000</f>
        <v>683.0585500000001</v>
      </c>
      <c r="H41" s="25">
        <f t="shared" si="1"/>
        <v>198.89949404776496</v>
      </c>
      <c r="I41" s="33">
        <f>D41-Февраль!D40</f>
        <v>214.56999999999994</v>
      </c>
    </row>
    <row r="42" spans="1:9" ht="76.5">
      <c r="A42" s="51" t="s">
        <v>118</v>
      </c>
      <c r="B42" s="27">
        <v>515.73</v>
      </c>
      <c r="C42" s="27">
        <v>122.8</v>
      </c>
      <c r="D42" s="27">
        <v>207.9</v>
      </c>
      <c r="E42" s="27">
        <f t="shared" si="0"/>
        <v>40.31179105345821</v>
      </c>
      <c r="F42" s="27">
        <v>3.43</v>
      </c>
      <c r="G42" s="83">
        <f>40939.04/1000</f>
        <v>40.93904</v>
      </c>
      <c r="H42" s="25">
        <f t="shared" si="1"/>
        <v>299.958181725805</v>
      </c>
      <c r="I42" s="33">
        <f>D42-Февраль!D41</f>
        <v>63.97</v>
      </c>
    </row>
    <row r="43" spans="1:9" ht="38.25">
      <c r="A43" s="51" t="s">
        <v>119</v>
      </c>
      <c r="B43" s="27">
        <v>17384.33</v>
      </c>
      <c r="C43" s="27">
        <v>4346.1</v>
      </c>
      <c r="D43" s="27">
        <v>3450.1</v>
      </c>
      <c r="E43" s="27">
        <f t="shared" si="0"/>
        <v>19.84603375568687</v>
      </c>
      <c r="F43" s="27">
        <v>538.73</v>
      </c>
      <c r="G43" s="83">
        <f>3256020/1000</f>
        <v>3256.02</v>
      </c>
      <c r="H43" s="25">
        <f t="shared" si="1"/>
        <v>133.47890983470617</v>
      </c>
      <c r="I43" s="33">
        <f>D43-Февраль!D42</f>
        <v>1035.7599999999998</v>
      </c>
    </row>
    <row r="44" spans="1:9" ht="44.25" customHeight="1">
      <c r="A44" s="51" t="s">
        <v>147</v>
      </c>
      <c r="B44" s="27">
        <v>62.2</v>
      </c>
      <c r="C44" s="27">
        <v>15.5</v>
      </c>
      <c r="D44" s="27">
        <v>8.1</v>
      </c>
      <c r="E44" s="27">
        <f t="shared" si="0"/>
        <v>13.022508038585206</v>
      </c>
      <c r="F44" s="27"/>
      <c r="G44" s="83">
        <v>0</v>
      </c>
      <c r="H44" s="25" t="s">
        <v>148</v>
      </c>
      <c r="I44" s="33">
        <f>D44-Февраль!D43</f>
        <v>2.59</v>
      </c>
    </row>
    <row r="45" spans="1:9" ht="51">
      <c r="A45" s="51" t="s">
        <v>120</v>
      </c>
      <c r="B45" s="27">
        <v>1531</v>
      </c>
      <c r="C45" s="27">
        <v>1148</v>
      </c>
      <c r="D45" s="27">
        <v>997.2</v>
      </c>
      <c r="E45" s="27">
        <f t="shared" si="0"/>
        <v>65.13389941214892</v>
      </c>
      <c r="F45" s="27">
        <v>0</v>
      </c>
      <c r="G45" s="83">
        <f>105492/1000</f>
        <v>105.492</v>
      </c>
      <c r="H45" s="25" t="s">
        <v>148</v>
      </c>
      <c r="I45" s="33">
        <f>D45-Февраль!D44</f>
        <v>0.009999999999990905</v>
      </c>
    </row>
    <row r="46" spans="1:9" ht="76.5">
      <c r="A46" s="51" t="s">
        <v>121</v>
      </c>
      <c r="B46" s="27">
        <v>3503.77</v>
      </c>
      <c r="C46" s="27">
        <v>875.9</v>
      </c>
      <c r="D46" s="27">
        <v>651</v>
      </c>
      <c r="E46" s="27">
        <f t="shared" si="0"/>
        <v>18.579986700040244</v>
      </c>
      <c r="F46" s="27">
        <v>236.15</v>
      </c>
      <c r="G46" s="34">
        <f>526350.16/1000</f>
        <v>526.3501600000001</v>
      </c>
      <c r="H46" s="25">
        <f t="shared" si="1"/>
        <v>166.41013275269069</v>
      </c>
      <c r="I46" s="33">
        <f>D46-Февраль!D45</f>
        <v>268.14</v>
      </c>
    </row>
    <row r="47" spans="1:9" ht="27" customHeight="1">
      <c r="A47" s="54" t="s">
        <v>13</v>
      </c>
      <c r="B47" s="33">
        <v>598.72</v>
      </c>
      <c r="C47" s="33">
        <v>163</v>
      </c>
      <c r="D47" s="33">
        <v>362.9</v>
      </c>
      <c r="E47" s="33">
        <f t="shared" si="0"/>
        <v>60.61264029930518</v>
      </c>
      <c r="F47" s="33">
        <v>43.6</v>
      </c>
      <c r="G47" s="27">
        <f>292037.99/1000</f>
        <v>292.03799</v>
      </c>
      <c r="H47" s="33">
        <f t="shared" si="1"/>
        <v>55.814656168534796</v>
      </c>
      <c r="I47" s="33">
        <f>D47-Февраль!D46</f>
        <v>188.14999999999998</v>
      </c>
    </row>
    <row r="48" spans="1:9" ht="25.5">
      <c r="A48" s="54" t="s">
        <v>96</v>
      </c>
      <c r="B48" s="33">
        <v>1290.36</v>
      </c>
      <c r="C48" s="33">
        <v>158.6</v>
      </c>
      <c r="D48" s="33">
        <v>273.2</v>
      </c>
      <c r="E48" s="33">
        <f t="shared" si="0"/>
        <v>21.172386000805975</v>
      </c>
      <c r="F48" s="33">
        <v>561.58</v>
      </c>
      <c r="G48" s="27">
        <f>188742.64/1000</f>
        <v>188.74264000000002</v>
      </c>
      <c r="H48" s="33">
        <f t="shared" si="1"/>
        <v>84.02976667063679</v>
      </c>
      <c r="I48" s="33">
        <f>D48-Февраль!D47</f>
        <v>152.57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1139.2</v>
      </c>
      <c r="E49" s="25">
        <f t="shared" si="0"/>
        <v>3.3604719764011803</v>
      </c>
      <c r="F49" s="25">
        <v>585.5</v>
      </c>
      <c r="G49" s="27">
        <f>SUM(G50:G52)</f>
        <v>657.2126499999999</v>
      </c>
      <c r="H49" s="25">
        <f t="shared" si="1"/>
        <v>0</v>
      </c>
      <c r="I49" s="33">
        <f>D49-Февраль!D48</f>
        <v>606.3000000000001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3137.41/1000</f>
        <v>3.13741</v>
      </c>
      <c r="H50" s="25" t="s">
        <v>148</v>
      </c>
      <c r="I50" s="33">
        <f>D50-Февраль!D49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27">
        <f>19985/1000</f>
        <v>19.985</v>
      </c>
      <c r="H51" s="25" t="s">
        <v>148</v>
      </c>
      <c r="I51" s="33">
        <f>D51-Февраль!D50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1139.2</v>
      </c>
      <c r="E52" s="27">
        <f t="shared" si="0"/>
        <v>81.37142857142857</v>
      </c>
      <c r="F52" s="27">
        <v>548.36</v>
      </c>
      <c r="G52" s="83">
        <f>634090.24/1000</f>
        <v>634.09024</v>
      </c>
      <c r="H52" s="25">
        <f t="shared" si="1"/>
        <v>0</v>
      </c>
      <c r="I52" s="33">
        <f>D52-Февраль!D51</f>
        <v>606.3000000000001</v>
      </c>
    </row>
    <row r="53" spans="1:9" ht="12.75">
      <c r="A53" s="54" t="s">
        <v>15</v>
      </c>
      <c r="B53" s="33">
        <v>-1455.1</v>
      </c>
      <c r="C53" s="33">
        <v>-4354.8</v>
      </c>
      <c r="D53" s="33">
        <v>961.6</v>
      </c>
      <c r="E53" s="26">
        <f t="shared" si="0"/>
        <v>-66.08480516802969</v>
      </c>
      <c r="F53" s="26">
        <v>179.73</v>
      </c>
      <c r="G53" s="27">
        <f>626993.54/1000</f>
        <v>626.99354</v>
      </c>
      <c r="H53" s="25">
        <f t="shared" si="1"/>
        <v>-694.552610542048</v>
      </c>
      <c r="I53" s="33">
        <f>D53-Февраль!D52</f>
        <v>5637.9400000000005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27"/>
      <c r="H54" s="25" t="e">
        <f t="shared" si="1"/>
        <v>#DIV/0!</v>
      </c>
      <c r="I54" s="33">
        <f>D54-Февраль!D53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27"/>
      <c r="H55" s="25" t="e">
        <f t="shared" si="1"/>
        <v>#DIV/0!</v>
      </c>
      <c r="I55" s="33">
        <f>D55-Февраль!D54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27"/>
      <c r="H56" s="25" t="e">
        <f t="shared" si="1"/>
        <v>#DIV/0!</v>
      </c>
      <c r="I56" s="33">
        <f>D56-Февраль!D55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27"/>
      <c r="H57" s="25" t="e">
        <f t="shared" si="1"/>
        <v>#DIV/0!</v>
      </c>
      <c r="I57" s="33">
        <f>D57-Февраль!D56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27"/>
      <c r="H58" s="25" t="e">
        <f t="shared" si="1"/>
        <v>#DIV/0!</v>
      </c>
      <c r="I58" s="33">
        <f>D58-Февраль!D57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27"/>
      <c r="H59" s="25" t="e">
        <f t="shared" si="1"/>
        <v>#DIV/0!</v>
      </c>
      <c r="I59" s="33">
        <f>D59-Февраль!D58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27"/>
      <c r="H60" s="25" t="e">
        <f t="shared" si="1"/>
        <v>#DIV/0!</v>
      </c>
      <c r="I60" s="33">
        <f>D60-Февраль!D59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26"/>
      <c r="H61" s="25" t="e">
        <f t="shared" si="1"/>
        <v>#DIV/0!</v>
      </c>
      <c r="I61" s="33">
        <f>D61-Февраль!D60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/>
      <c r="H62" s="25" t="e">
        <f t="shared" si="1"/>
        <v>#DIV/0!</v>
      </c>
      <c r="I62" s="33">
        <f>D62-Февраль!D61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/>
      <c r="H63" s="25" t="e">
        <f t="shared" si="1"/>
        <v>#DIV/0!</v>
      </c>
      <c r="I63" s="33">
        <f>D63-Февраль!D62</f>
        <v>0</v>
      </c>
    </row>
    <row r="64" spans="1:9" ht="12.75">
      <c r="A64" s="47" t="s">
        <v>16</v>
      </c>
      <c r="B64" s="33">
        <v>-1089.3</v>
      </c>
      <c r="C64" s="33">
        <v>-1097.5</v>
      </c>
      <c r="D64" s="33">
        <v>-1095.9</v>
      </c>
      <c r="E64" s="26">
        <f t="shared" si="0"/>
        <v>100.60589369319747</v>
      </c>
      <c r="F64" s="26">
        <v>-38.79</v>
      </c>
      <c r="G64" s="83">
        <v>0.2</v>
      </c>
      <c r="H64" s="25" t="s">
        <v>148</v>
      </c>
      <c r="I64" s="33">
        <f>D64-Февраль!D63</f>
        <v>-0.790000000000191</v>
      </c>
    </row>
    <row r="65" spans="1:9" ht="12.75">
      <c r="A65" s="54" t="s">
        <v>17</v>
      </c>
      <c r="B65" s="26">
        <f>B64+B53+B49+B48+B47+B38+B30+B27+B22+B17+B8</f>
        <v>722378.16</v>
      </c>
      <c r="C65" s="26">
        <f>C64+C53+C49+C48+C47+C38+C30+C27+C22+C17+C8</f>
        <v>105759.7</v>
      </c>
      <c r="D65" s="26">
        <f>D64+D53+D49+D48+D47+D38+D30+D27+D22+D17+D8+D37</f>
        <v>123074.5</v>
      </c>
      <c r="E65" s="26">
        <f t="shared" si="0"/>
        <v>17.03740600352591</v>
      </c>
      <c r="F65" s="26">
        <v>27699.089999999997</v>
      </c>
      <c r="G65" s="27">
        <v>170255.62221</v>
      </c>
      <c r="H65" s="25">
        <f t="shared" si="1"/>
        <v>62.11818360368259</v>
      </c>
      <c r="I65" s="33">
        <f>D65-Февраль!D64</f>
        <v>95775.52</v>
      </c>
    </row>
    <row r="66" spans="1:9" ht="12.75">
      <c r="A66" s="54" t="s">
        <v>18</v>
      </c>
      <c r="B66" s="26">
        <f>B67+B72+B73</f>
        <v>3265042.1999999997</v>
      </c>
      <c r="C66" s="26">
        <f>C67+C72+C73</f>
        <v>806897.1000000001</v>
      </c>
      <c r="D66" s="26">
        <f>D67+D72+D73</f>
        <v>654632.2000000001</v>
      </c>
      <c r="E66" s="26">
        <f t="shared" si="0"/>
        <v>20.049731669624364</v>
      </c>
      <c r="F66" s="26">
        <v>43822.57000000001</v>
      </c>
      <c r="G66" s="27">
        <f>G67+G72+G73</f>
        <v>300176.78826999996</v>
      </c>
      <c r="H66" s="25">
        <f t="shared" si="1"/>
        <v>268.80729341211435</v>
      </c>
      <c r="I66" s="33">
        <f>D66-Февраль!D65</f>
        <v>314304.49000000005</v>
      </c>
    </row>
    <row r="67" spans="1:9" ht="25.5">
      <c r="A67" s="54" t="s">
        <v>19</v>
      </c>
      <c r="B67" s="26">
        <f>SUM(B68:B71)</f>
        <v>3273422.4</v>
      </c>
      <c r="C67" s="26">
        <f>SUM(C68:C71)</f>
        <v>815277.3</v>
      </c>
      <c r="D67" s="26">
        <f>SUM(D68:D71)</f>
        <v>663012.4</v>
      </c>
      <c r="E67" s="26">
        <f t="shared" si="0"/>
        <v>20.254410185498823</v>
      </c>
      <c r="F67" s="26">
        <v>46091.770000000004</v>
      </c>
      <c r="G67" s="27">
        <f>SUM(G68:G71)</f>
        <v>318549.72033</v>
      </c>
      <c r="H67" s="25">
        <f t="shared" si="1"/>
        <v>255.93408123398058</v>
      </c>
      <c r="I67" s="33">
        <f>D67-Февраль!D66</f>
        <v>293130.13</v>
      </c>
    </row>
    <row r="68" spans="1:9" ht="12.75">
      <c r="A68" s="51" t="s">
        <v>108</v>
      </c>
      <c r="B68" s="27">
        <v>565077</v>
      </c>
      <c r="C68" s="27">
        <v>174315.6</v>
      </c>
      <c r="D68" s="27">
        <v>217199</v>
      </c>
      <c r="E68" s="25">
        <f t="shared" si="0"/>
        <v>38.43706255961577</v>
      </c>
      <c r="F68" s="25">
        <v>15902.8</v>
      </c>
      <c r="G68" s="27">
        <f>106361300/1000</f>
        <v>106361.3</v>
      </c>
      <c r="H68" s="25">
        <f t="shared" si="1"/>
        <v>163.8900615167359</v>
      </c>
      <c r="I68" s="33">
        <f>D68-Февраль!D67</f>
        <v>51845</v>
      </c>
    </row>
    <row r="69" spans="1:9" ht="12.75" customHeight="1">
      <c r="A69" s="51" t="s">
        <v>109</v>
      </c>
      <c r="B69" s="27">
        <v>1404832</v>
      </c>
      <c r="C69" s="27">
        <v>376321.3</v>
      </c>
      <c r="D69" s="27">
        <v>198359.7</v>
      </c>
      <c r="E69" s="25">
        <f t="shared" si="0"/>
        <v>14.119816462039589</v>
      </c>
      <c r="F69" s="25">
        <v>0</v>
      </c>
      <c r="G69" s="27">
        <f>16207497.97/1000</f>
        <v>16207.49797</v>
      </c>
      <c r="H69" s="25">
        <f t="shared" si="1"/>
        <v>2321.8963266049386</v>
      </c>
      <c r="I69" s="33">
        <f>D69-Февраль!D68</f>
        <v>131409.63</v>
      </c>
    </row>
    <row r="70" spans="1:9" ht="18.75" customHeight="1">
      <c r="A70" s="51" t="s">
        <v>110</v>
      </c>
      <c r="B70" s="27">
        <v>1246629.9</v>
      </c>
      <c r="C70" s="27">
        <v>255995.9</v>
      </c>
      <c r="D70" s="27">
        <v>237754.8</v>
      </c>
      <c r="E70" s="25">
        <f t="shared" si="0"/>
        <v>19.071803106920505</v>
      </c>
      <c r="F70" s="25">
        <v>30188.97</v>
      </c>
      <c r="G70" s="27">
        <f>187890322.36/1000</f>
        <v>187890.32236000002</v>
      </c>
      <c r="H70" s="25">
        <f t="shared" si="1"/>
        <v>136.2475175860888</v>
      </c>
      <c r="I70" s="33">
        <f>D70-Февраль!D69</f>
        <v>104102.59999999998</v>
      </c>
    </row>
    <row r="71" spans="1:9" ht="12.75" customHeight="1">
      <c r="A71" s="2" t="s">
        <v>122</v>
      </c>
      <c r="B71" s="27">
        <v>56883.5</v>
      </c>
      <c r="C71" s="27">
        <v>8644.5</v>
      </c>
      <c r="D71" s="27">
        <v>9698.9</v>
      </c>
      <c r="E71" s="25">
        <f t="shared" si="0"/>
        <v>17.05046278797894</v>
      </c>
      <c r="F71" s="25">
        <v>0</v>
      </c>
      <c r="G71" s="34">
        <f>8090600/1000</f>
        <v>8090.6</v>
      </c>
      <c r="H71" s="25" t="s">
        <v>148</v>
      </c>
      <c r="I71" s="33">
        <f>D71-Февраль!D70</f>
        <v>5772.9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83">
        <v>0</v>
      </c>
      <c r="H72" s="25" t="s">
        <v>148</v>
      </c>
      <c r="I72" s="33">
        <f>D72-Февраль!D71</f>
        <v>0</v>
      </c>
    </row>
    <row r="73" spans="1:9" ht="25.5">
      <c r="A73" s="54" t="s">
        <v>21</v>
      </c>
      <c r="B73" s="33">
        <v>-8380.2</v>
      </c>
      <c r="C73" s="33">
        <v>-8380.2</v>
      </c>
      <c r="D73" s="33">
        <v>-8380.2</v>
      </c>
      <c r="E73" s="26">
        <f t="shared" si="0"/>
        <v>100</v>
      </c>
      <c r="F73" s="26">
        <v>-2269.2</v>
      </c>
      <c r="G73" s="83">
        <f>-18372932.06/1000</f>
        <v>-18372.93206</v>
      </c>
      <c r="H73" s="25">
        <f t="shared" si="1"/>
        <v>45.611663792327775</v>
      </c>
      <c r="I73" s="33">
        <f>D73-Февраль!D72</f>
        <v>21174.36</v>
      </c>
    </row>
    <row r="74" spans="1:9" ht="12.75">
      <c r="A74" s="47" t="s">
        <v>20</v>
      </c>
      <c r="B74" s="26">
        <f>B65+B66</f>
        <v>3987420.36</v>
      </c>
      <c r="C74" s="26">
        <f>C65+C66</f>
        <v>912656.8</v>
      </c>
      <c r="D74" s="26">
        <f>D65+D66</f>
        <v>777706.7000000001</v>
      </c>
      <c r="E74" s="25">
        <f>D74/B74*100</f>
        <v>19.50400584301576</v>
      </c>
      <c r="F74" s="25">
        <v>71521.66</v>
      </c>
      <c r="G74" s="26">
        <v>470432.41047999996</v>
      </c>
      <c r="H74" s="25">
        <f>C74/G74*100</f>
        <v>194.00381004123034</v>
      </c>
      <c r="I74" s="33">
        <f>D74-Февраль!D73</f>
        <v>410097.05000000005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15" t="s">
        <v>22</v>
      </c>
      <c r="B79" s="115"/>
      <c r="C79" s="115"/>
      <c r="D79" s="115"/>
      <c r="E79" s="115"/>
      <c r="F79" s="115"/>
      <c r="G79" s="115"/>
      <c r="H79" s="115"/>
      <c r="I79" s="115"/>
    </row>
    <row r="80" spans="1:9" ht="12.75">
      <c r="A80" s="7" t="s">
        <v>23</v>
      </c>
      <c r="B80" s="33">
        <f>B81+B82+B83+B84+B85+B86+B87+B88</f>
        <v>443081.24</v>
      </c>
      <c r="C80" s="33">
        <f>C81+C82+C83+C84+C85+C86+C87+C88</f>
        <v>77554.6</v>
      </c>
      <c r="D80" s="33">
        <f>D81+D82+D83+D84+D85+D86+D87+D88</f>
        <v>76883.79999999999</v>
      </c>
      <c r="E80" s="25">
        <f>$D:$D/$B:$B*100</f>
        <v>17.352077465523024</v>
      </c>
      <c r="F80" s="25">
        <f>$D:$D/$C:$C*100</f>
        <v>99.13506097639596</v>
      </c>
      <c r="G80" s="33">
        <f>G81+G82+G83+G84+G85+G86+G87+G88</f>
        <v>27636.5836</v>
      </c>
      <c r="H80" s="25">
        <f>$D:$D/$G:$G*100</f>
        <v>278.19574630780335</v>
      </c>
      <c r="I80" s="33">
        <f>D80-Февраль!D79</f>
        <v>20957.749999999985</v>
      </c>
    </row>
    <row r="81" spans="1:9" ht="14.25" customHeight="1">
      <c r="A81" s="8" t="s">
        <v>24</v>
      </c>
      <c r="B81" s="27">
        <v>3112.77</v>
      </c>
      <c r="C81" s="27">
        <v>1024.9</v>
      </c>
      <c r="D81" s="27">
        <v>992.9</v>
      </c>
      <c r="E81" s="28">
        <f>$D:$D/$B:$B*100</f>
        <v>31.897634582702867</v>
      </c>
      <c r="F81" s="28">
        <v>0</v>
      </c>
      <c r="G81" s="66">
        <v>316.63378</v>
      </c>
      <c r="H81" s="28">
        <v>0</v>
      </c>
      <c r="I81" s="33">
        <f>D81-Февраль!D80</f>
        <v>581.5799999999999</v>
      </c>
    </row>
    <row r="82" spans="1:9" ht="12.75">
      <c r="A82" s="8" t="s">
        <v>25</v>
      </c>
      <c r="B82" s="27">
        <v>7499.62</v>
      </c>
      <c r="C82" s="27">
        <v>1853.4</v>
      </c>
      <c r="D82" s="27">
        <v>1853.4</v>
      </c>
      <c r="E82" s="28">
        <f>$D:$D/$B:$B*100</f>
        <v>24.71325213810833</v>
      </c>
      <c r="F82" s="28">
        <f>$D:$D/$C:$C*100</f>
        <v>100</v>
      </c>
      <c r="G82" s="66">
        <v>1241.25197</v>
      </c>
      <c r="H82" s="28">
        <f>$D:$D/$G:$G*100</f>
        <v>149.31698356136346</v>
      </c>
      <c r="I82" s="33">
        <f>D82-Февраль!D81</f>
        <v>936.2300000000001</v>
      </c>
    </row>
    <row r="83" spans="1:9" ht="25.5">
      <c r="A83" s="8" t="s">
        <v>26</v>
      </c>
      <c r="B83" s="27">
        <v>68916.66</v>
      </c>
      <c r="C83" s="27">
        <v>17000.7</v>
      </c>
      <c r="D83" s="27">
        <v>16717.6</v>
      </c>
      <c r="E83" s="28">
        <f>$D:$D/$B:$B*100</f>
        <v>24.257704885872293</v>
      </c>
      <c r="F83" s="28">
        <f>$D:$D/$C:$C*100</f>
        <v>98.3347744504638</v>
      </c>
      <c r="G83" s="66">
        <v>14036.444660000001</v>
      </c>
      <c r="H83" s="28">
        <f>$D:$D/$G:$G*100</f>
        <v>119.1013850369143</v>
      </c>
      <c r="I83" s="33">
        <f>D83-Февраль!D82</f>
        <v>8936.499999999998</v>
      </c>
    </row>
    <row r="84" spans="1:9" ht="12.75">
      <c r="A84" s="8" t="s">
        <v>72</v>
      </c>
      <c r="B84" s="27">
        <v>4</v>
      </c>
      <c r="C84" s="27">
        <v>3.8</v>
      </c>
      <c r="D84" s="27">
        <v>3.8</v>
      </c>
      <c r="E84" s="28">
        <v>0</v>
      </c>
      <c r="F84" s="28">
        <v>0</v>
      </c>
      <c r="G84" s="66">
        <v>170</v>
      </c>
      <c r="H84" s="28">
        <v>0</v>
      </c>
      <c r="I84" s="33">
        <f>D84-Февраль!D83</f>
        <v>3.8</v>
      </c>
    </row>
    <row r="85" spans="1:9" ht="25.5">
      <c r="A85" s="1" t="s">
        <v>27</v>
      </c>
      <c r="B85" s="27">
        <v>17625.39</v>
      </c>
      <c r="C85" s="27">
        <v>4014.7</v>
      </c>
      <c r="D85" s="27">
        <v>3928.1</v>
      </c>
      <c r="E85" s="28">
        <f>$D:$D/$B:$B*100</f>
        <v>22.286599048304748</v>
      </c>
      <c r="F85" s="28">
        <v>0</v>
      </c>
      <c r="G85" s="66">
        <v>2835.64259</v>
      </c>
      <c r="H85" s="28">
        <f>$D:$D/$G:$G*100</f>
        <v>138.5259205039659</v>
      </c>
      <c r="I85" s="33">
        <f>D85-Февраль!D84</f>
        <v>2162.75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D86-Февраль!D85</f>
        <v>0</v>
      </c>
    </row>
    <row r="87" spans="1:9" ht="12.75">
      <c r="A87" s="8" t="s">
        <v>29</v>
      </c>
      <c r="B87" s="27">
        <v>23085.4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D87-Февраль!D86</f>
        <v>0</v>
      </c>
    </row>
    <row r="88" spans="1:9" ht="12.75">
      <c r="A88" s="1" t="s">
        <v>30</v>
      </c>
      <c r="B88" s="27">
        <v>322837.4</v>
      </c>
      <c r="C88" s="27">
        <v>53657.1</v>
      </c>
      <c r="D88" s="27">
        <v>53388</v>
      </c>
      <c r="E88" s="28">
        <f>$D:$D/$B:$B*100</f>
        <v>16.53711744673944</v>
      </c>
      <c r="F88" s="28">
        <f>$D:$D/$C:$C*100</f>
        <v>99.49848202754156</v>
      </c>
      <c r="G88" s="66">
        <v>9036.6106</v>
      </c>
      <c r="H88" s="28">
        <f>$D:$D/$G:$G*100</f>
        <v>590.7967308008159</v>
      </c>
      <c r="I88" s="33">
        <f>D88-Февраль!D87</f>
        <v>8336.89</v>
      </c>
    </row>
    <row r="89" spans="1:9" ht="12.75">
      <c r="A89" s="7" t="s">
        <v>31</v>
      </c>
      <c r="B89" s="26">
        <v>527.7</v>
      </c>
      <c r="C89" s="26">
        <v>133.3</v>
      </c>
      <c r="D89" s="26">
        <v>133.3</v>
      </c>
      <c r="E89" s="25">
        <f>$D:$D/$B:$B*100</f>
        <v>25.260564714800076</v>
      </c>
      <c r="F89" s="25">
        <f>$D:$D/$C:$C*100</f>
        <v>100</v>
      </c>
      <c r="G89" s="66">
        <v>73.19835</v>
      </c>
      <c r="H89" s="25">
        <v>0</v>
      </c>
      <c r="I89" s="33">
        <f>D89-Февраль!D88</f>
        <v>48.370000000000005</v>
      </c>
    </row>
    <row r="90" spans="1:9" ht="25.5">
      <c r="A90" s="9" t="s">
        <v>32</v>
      </c>
      <c r="B90" s="26">
        <v>11358.1</v>
      </c>
      <c r="C90" s="26">
        <v>2720.9</v>
      </c>
      <c r="D90" s="33">
        <v>2624.6</v>
      </c>
      <c r="E90" s="25">
        <f>$D:$D/$B:$B*100</f>
        <v>23.107738089997447</v>
      </c>
      <c r="F90" s="25">
        <f>$D:$D/$C:$C*100</f>
        <v>96.46072990554595</v>
      </c>
      <c r="G90" s="66">
        <v>902.92782</v>
      </c>
      <c r="H90" s="25">
        <f>$D:$D/$G:$G*100</f>
        <v>290.6766124450568</v>
      </c>
      <c r="I90" s="33">
        <f>D90-Февраль!D89</f>
        <v>2032.29</v>
      </c>
    </row>
    <row r="91" spans="1:9" ht="12.75">
      <c r="A91" s="7" t="s">
        <v>33</v>
      </c>
      <c r="B91" s="33">
        <f aca="true" t="shared" si="2" ref="B91:H91">B92+B93+B94+B95</f>
        <v>596302.2999999999</v>
      </c>
      <c r="C91" s="33">
        <f t="shared" si="2"/>
        <v>34422.5</v>
      </c>
      <c r="D91" s="33">
        <f t="shared" si="2"/>
        <v>35112.100000000006</v>
      </c>
      <c r="E91" s="33">
        <f t="shared" si="2"/>
        <v>32.85806682216892</v>
      </c>
      <c r="F91" s="33">
        <f t="shared" si="2"/>
        <v>221.1553210418137</v>
      </c>
      <c r="G91" s="80">
        <f t="shared" si="2"/>
        <v>10592.23345</v>
      </c>
      <c r="H91" s="33">
        <f t="shared" si="2"/>
        <v>140.78815370907895</v>
      </c>
      <c r="I91" s="33">
        <f>D91-Февраль!D90</f>
        <v>21203.700000000004</v>
      </c>
    </row>
    <row r="92" spans="1:9" ht="12.75" customHeight="1">
      <c r="A92" s="10" t="s">
        <v>67</v>
      </c>
      <c r="B92" s="27">
        <v>13452.3</v>
      </c>
      <c r="C92" s="27">
        <v>0</v>
      </c>
      <c r="D92" s="27">
        <v>0</v>
      </c>
      <c r="E92" s="28">
        <v>0</v>
      </c>
      <c r="F92" s="28">
        <v>0</v>
      </c>
      <c r="G92" s="66">
        <v>0</v>
      </c>
      <c r="H92" s="28">
        <v>0</v>
      </c>
      <c r="I92" s="33">
        <f>D92-Февраль!D91</f>
        <v>0</v>
      </c>
    </row>
    <row r="93" spans="1:9" ht="12.75">
      <c r="A93" s="8" t="s">
        <v>34</v>
      </c>
      <c r="B93" s="27">
        <v>29381</v>
      </c>
      <c r="C93" s="27">
        <v>4686.1</v>
      </c>
      <c r="D93" s="27">
        <v>4686.1</v>
      </c>
      <c r="E93" s="28">
        <f>$D:$D/$B:$B*100</f>
        <v>15.949423096559002</v>
      </c>
      <c r="F93" s="28">
        <v>0</v>
      </c>
      <c r="G93" s="66">
        <v>4448.69449</v>
      </c>
      <c r="H93" s="28">
        <v>0</v>
      </c>
      <c r="I93" s="33">
        <f>D93-Февраль!D92</f>
        <v>2223.9200000000005</v>
      </c>
    </row>
    <row r="94" spans="1:9" ht="12.75">
      <c r="A94" s="10" t="s">
        <v>77</v>
      </c>
      <c r="B94" s="27">
        <v>520049.8</v>
      </c>
      <c r="C94" s="27">
        <v>26476.7</v>
      </c>
      <c r="D94" s="27">
        <v>26476.7</v>
      </c>
      <c r="E94" s="28">
        <f>$D:$D/$B:$B*100</f>
        <v>5.091185498004229</v>
      </c>
      <c r="F94" s="28">
        <f>$D:$D/$C:$C*100</f>
        <v>100</v>
      </c>
      <c r="G94" s="66">
        <v>3338.40238</v>
      </c>
      <c r="H94" s="28">
        <v>0</v>
      </c>
      <c r="I94" s="33">
        <f>D94-Февраль!D93</f>
        <v>16388.74</v>
      </c>
    </row>
    <row r="95" spans="1:9" ht="12.75">
      <c r="A95" s="8" t="s">
        <v>35</v>
      </c>
      <c r="B95" s="27">
        <v>33419.2</v>
      </c>
      <c r="C95" s="27">
        <v>3259.7</v>
      </c>
      <c r="D95" s="27">
        <v>3949.3</v>
      </c>
      <c r="E95" s="28">
        <f>$D:$D/$B:$B*100</f>
        <v>11.81745822760569</v>
      </c>
      <c r="F95" s="28">
        <f>$D:$D/$C:$C*100</f>
        <v>121.15532104181368</v>
      </c>
      <c r="G95" s="66">
        <v>2805.13658</v>
      </c>
      <c r="H95" s="28">
        <f>$D:$D/$G:$G*100</f>
        <v>140.78815370907895</v>
      </c>
      <c r="I95" s="33">
        <f>D95-Февраль!D94</f>
        <v>2591.04</v>
      </c>
    </row>
    <row r="96" spans="1:9" ht="12.75">
      <c r="A96" s="7" t="s">
        <v>36</v>
      </c>
      <c r="B96" s="33">
        <f>B98+B99+B100+B97</f>
        <v>415762.26999999996</v>
      </c>
      <c r="C96" s="26">
        <f>C98+C99+C100+C97</f>
        <v>14728</v>
      </c>
      <c r="D96" s="33">
        <f>D98+D99+D100+D97</f>
        <v>14232.2</v>
      </c>
      <c r="E96" s="33">
        <f>E99+E100+E97</f>
        <v>8.922692359729048</v>
      </c>
      <c r="F96" s="25">
        <f>$D:$D/$C:$C*100</f>
        <v>96.63362303096143</v>
      </c>
      <c r="G96" s="80">
        <f>G98+G99+G100+G97</f>
        <v>12428.22898</v>
      </c>
      <c r="H96" s="28">
        <f>$D:$D/$G:$G*100</f>
        <v>114.51510929596664</v>
      </c>
      <c r="I96" s="33">
        <f>D96-Февраль!D95</f>
        <v>5201.800000000001</v>
      </c>
    </row>
    <row r="97" spans="1:9" ht="12.75">
      <c r="A97" s="8" t="s">
        <v>37</v>
      </c>
      <c r="B97" s="27">
        <v>8253.1</v>
      </c>
      <c r="C97" s="27">
        <v>0</v>
      </c>
      <c r="D97" s="27">
        <v>0</v>
      </c>
      <c r="E97" s="43">
        <v>0</v>
      </c>
      <c r="F97" s="28">
        <v>0</v>
      </c>
      <c r="G97" s="66">
        <v>0</v>
      </c>
      <c r="H97" s="28">
        <v>0</v>
      </c>
      <c r="I97" s="33">
        <f>D97-Февраль!D96</f>
        <v>0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66">
        <v>0</v>
      </c>
      <c r="H98" s="28">
        <v>0</v>
      </c>
      <c r="I98" s="33">
        <f>D98-Февраль!D97</f>
        <v>0</v>
      </c>
    </row>
    <row r="99" spans="1:9" ht="12.75">
      <c r="A99" s="8" t="s">
        <v>39</v>
      </c>
      <c r="B99" s="27">
        <v>296762</v>
      </c>
      <c r="C99" s="27">
        <v>7364.1</v>
      </c>
      <c r="D99" s="27">
        <v>7364.1</v>
      </c>
      <c r="E99" s="28">
        <f t="shared" si="3"/>
        <v>2.4814834783429145</v>
      </c>
      <c r="F99" s="28">
        <f>$D:$D/$C:$C*100</f>
        <v>100</v>
      </c>
      <c r="G99" s="66">
        <v>7430.18189</v>
      </c>
      <c r="H99" s="28">
        <v>0</v>
      </c>
      <c r="I99" s="33">
        <f>D99-Февраль!D98</f>
        <v>2407.1600000000008</v>
      </c>
    </row>
    <row r="100" spans="1:9" ht="12.75">
      <c r="A100" s="8" t="s">
        <v>40</v>
      </c>
      <c r="B100" s="27">
        <v>106627.5</v>
      </c>
      <c r="C100" s="27">
        <v>7363.9</v>
      </c>
      <c r="D100" s="27">
        <v>6868.1</v>
      </c>
      <c r="E100" s="28">
        <f t="shared" si="3"/>
        <v>6.441208881386134</v>
      </c>
      <c r="F100" s="28">
        <f>$D:$D/$C:$C*100</f>
        <v>93.26715463273538</v>
      </c>
      <c r="G100" s="66">
        <v>4998.04709</v>
      </c>
      <c r="H100" s="28">
        <f>$D:$D/$G:$G*100</f>
        <v>137.41567208803548</v>
      </c>
      <c r="I100" s="33">
        <f>D100-Февраль!D99</f>
        <v>2794.6400000000003</v>
      </c>
    </row>
    <row r="101" spans="1:9" ht="12.75">
      <c r="A101" s="11" t="s">
        <v>115</v>
      </c>
      <c r="B101" s="33">
        <f>B102+B103</f>
        <v>14079.4</v>
      </c>
      <c r="C101" s="33">
        <f>C102+C103</f>
        <v>595.9</v>
      </c>
      <c r="D101" s="33">
        <f>D102+D103</f>
        <v>595.9</v>
      </c>
      <c r="E101" s="25">
        <f t="shared" si="3"/>
        <v>4.232424677187948</v>
      </c>
      <c r="F101" s="25"/>
      <c r="G101" s="80">
        <f>G102</f>
        <v>127.74</v>
      </c>
      <c r="H101" s="25">
        <f>$D:$D/$G:$G*100</f>
        <v>466.4944418349773</v>
      </c>
      <c r="I101" s="33">
        <f>D101-Февраль!D100</f>
        <v>349.34</v>
      </c>
    </row>
    <row r="102" spans="1:9" ht="25.5">
      <c r="A102" s="39" t="s">
        <v>166</v>
      </c>
      <c r="B102" s="91">
        <v>2094</v>
      </c>
      <c r="C102" s="91">
        <v>595.9</v>
      </c>
      <c r="D102" s="91">
        <v>595.9</v>
      </c>
      <c r="E102" s="28">
        <f t="shared" si="3"/>
        <v>28.457497612225406</v>
      </c>
      <c r="F102" s="28"/>
      <c r="G102" s="66">
        <v>127.74</v>
      </c>
      <c r="H102" s="28">
        <v>0</v>
      </c>
      <c r="I102" s="33">
        <f>D102-Февраль!D101</f>
        <v>349.34</v>
      </c>
    </row>
    <row r="103" spans="1:9" ht="25.5">
      <c r="A103" s="39" t="s">
        <v>165</v>
      </c>
      <c r="B103" s="91">
        <v>11985.4</v>
      </c>
      <c r="C103" s="91">
        <v>0</v>
      </c>
      <c r="D103" s="91">
        <v>0</v>
      </c>
      <c r="E103" s="28">
        <f t="shared" si="3"/>
        <v>0</v>
      </c>
      <c r="F103" s="28"/>
      <c r="G103" s="85">
        <v>0</v>
      </c>
      <c r="H103" s="28">
        <v>0</v>
      </c>
      <c r="I103" s="33">
        <f>D103</f>
        <v>0</v>
      </c>
    </row>
    <row r="104" spans="1:9" ht="12.75">
      <c r="A104" s="11" t="s">
        <v>41</v>
      </c>
      <c r="B104" s="33">
        <f>B105+B106+B108+B109+B110+B107</f>
        <v>1856562.9200000002</v>
      </c>
      <c r="C104" s="33">
        <f>C105+C106+C108+C109+C110+C107</f>
        <v>372906.3</v>
      </c>
      <c r="D104" s="33">
        <f>D105+D106+D108+D109+D110+D107</f>
        <v>372875.3</v>
      </c>
      <c r="E104" s="33">
        <f>E105+E106+E109+E110+E108</f>
        <v>87.03237904908741</v>
      </c>
      <c r="F104" s="33">
        <f>F105+F106+F109+F110+F108</f>
        <v>499.923017132413</v>
      </c>
      <c r="G104" s="80">
        <f>G105+G106+G108+G109+G110+G107</f>
        <v>310226.97911</v>
      </c>
      <c r="H104" s="33">
        <f>H105+H106+H109+H110+H108</f>
        <v>436.27274765781294</v>
      </c>
      <c r="I104" s="33">
        <f>D104-Февраль!D102</f>
        <v>158474.50999999998</v>
      </c>
    </row>
    <row r="105" spans="1:9" ht="12.75">
      <c r="A105" s="8" t="s">
        <v>42</v>
      </c>
      <c r="B105" s="27">
        <v>717907.5</v>
      </c>
      <c r="C105" s="27">
        <v>149071.3</v>
      </c>
      <c r="D105" s="27">
        <v>149071.3</v>
      </c>
      <c r="E105" s="28">
        <f aca="true" t="shared" si="4" ref="E105:E115">$D:$D/$B:$B*100</f>
        <v>20.764694615949825</v>
      </c>
      <c r="F105" s="28">
        <f aca="true" t="shared" si="5" ref="F105:F113">$D:$D/$C:$C*100</f>
        <v>100</v>
      </c>
      <c r="G105" s="66">
        <v>123499.6752</v>
      </c>
      <c r="H105" s="28">
        <f>$D:$D/$G:$G*100</f>
        <v>120.70582352430348</v>
      </c>
      <c r="I105" s="33">
        <f>D105-Февраль!D103</f>
        <v>63416.26999999999</v>
      </c>
    </row>
    <row r="106" spans="1:9" ht="12.75">
      <c r="A106" s="8" t="s">
        <v>43</v>
      </c>
      <c r="B106" s="27">
        <v>747745.6</v>
      </c>
      <c r="C106" s="27">
        <v>151853.2</v>
      </c>
      <c r="D106" s="27">
        <v>151853.2</v>
      </c>
      <c r="E106" s="28">
        <f t="shared" si="4"/>
        <v>20.308136885058236</v>
      </c>
      <c r="F106" s="28">
        <f t="shared" si="5"/>
        <v>100</v>
      </c>
      <c r="G106" s="66">
        <v>121792.82254000001</v>
      </c>
      <c r="H106" s="28">
        <f>$D:$D/$G:$G*100</f>
        <v>124.68156729853877</v>
      </c>
      <c r="I106" s="33">
        <f>D106-Февраль!D104</f>
        <v>65203.73000000001</v>
      </c>
    </row>
    <row r="107" spans="1:9" ht="12.75">
      <c r="A107" s="90" t="s">
        <v>105</v>
      </c>
      <c r="B107" s="27">
        <v>145384.7</v>
      </c>
      <c r="C107" s="27">
        <v>28280.8</v>
      </c>
      <c r="D107" s="27">
        <v>28280.8</v>
      </c>
      <c r="E107" s="28">
        <f t="shared" si="4"/>
        <v>19.452390794904826</v>
      </c>
      <c r="F107" s="28">
        <f t="shared" si="5"/>
        <v>100</v>
      </c>
      <c r="G107" s="66">
        <v>25932.50765</v>
      </c>
      <c r="H107" s="28">
        <f>$D:$D/$G:$G*100</f>
        <v>109.05540020153046</v>
      </c>
      <c r="I107" s="33">
        <f>D107-Февраль!D105</f>
        <v>12416.48</v>
      </c>
    </row>
    <row r="108" spans="1:9" ht="25.5">
      <c r="A108" s="8" t="s">
        <v>123</v>
      </c>
      <c r="B108" s="27">
        <v>372.36</v>
      </c>
      <c r="C108" s="27">
        <v>49.7</v>
      </c>
      <c r="D108" s="27">
        <v>49.7</v>
      </c>
      <c r="E108" s="28">
        <f t="shared" si="4"/>
        <v>13.347298313460094</v>
      </c>
      <c r="F108" s="28">
        <f t="shared" si="5"/>
        <v>100</v>
      </c>
      <c r="G108" s="66">
        <v>76.24</v>
      </c>
      <c r="H108" s="28">
        <v>0</v>
      </c>
      <c r="I108" s="33">
        <f>D108-Февраль!D106</f>
        <v>21.500000000000004</v>
      </c>
    </row>
    <row r="109" spans="1:9" ht="12.75">
      <c r="A109" s="8" t="s">
        <v>44</v>
      </c>
      <c r="B109" s="27">
        <v>23378.76</v>
      </c>
      <c r="C109" s="27">
        <v>3382.6</v>
      </c>
      <c r="D109" s="27">
        <v>3382.6</v>
      </c>
      <c r="E109" s="28">
        <f t="shared" si="4"/>
        <v>14.468688672966405</v>
      </c>
      <c r="F109" s="28">
        <f t="shared" si="5"/>
        <v>100</v>
      </c>
      <c r="G109" s="66">
        <v>4589.89113</v>
      </c>
      <c r="H109" s="28">
        <f>$D:$D/$G:$G*100</f>
        <v>73.69673711628973</v>
      </c>
      <c r="I109" s="33">
        <f>D109-Февраль!D107</f>
        <v>1445.99</v>
      </c>
    </row>
    <row r="110" spans="1:9" ht="12.75">
      <c r="A110" s="8" t="s">
        <v>45</v>
      </c>
      <c r="B110" s="27">
        <v>221774</v>
      </c>
      <c r="C110" s="27">
        <v>40268.7</v>
      </c>
      <c r="D110" s="27">
        <v>40237.7</v>
      </c>
      <c r="E110" s="28">
        <f t="shared" si="4"/>
        <v>18.14356056165285</v>
      </c>
      <c r="F110" s="28">
        <f t="shared" si="5"/>
        <v>99.92301713241302</v>
      </c>
      <c r="G110" s="66">
        <v>34335.84259</v>
      </c>
      <c r="H110" s="28">
        <f>$D:$D/$G:$G*100</f>
        <v>117.18861971868097</v>
      </c>
      <c r="I110" s="33">
        <f>D110-Февраль!D108</f>
        <v>15970.539999999997</v>
      </c>
    </row>
    <row r="111" spans="1:9" ht="25.5">
      <c r="A111" s="11" t="s">
        <v>46</v>
      </c>
      <c r="B111" s="33">
        <f>B112+B113</f>
        <v>307737.44</v>
      </c>
      <c r="C111" s="33">
        <f>C112+C113</f>
        <v>51415.7</v>
      </c>
      <c r="D111" s="33">
        <f>D112+D113</f>
        <v>51405.899999999994</v>
      </c>
      <c r="E111" s="25">
        <f t="shared" si="4"/>
        <v>16.704467288738087</v>
      </c>
      <c r="F111" s="25">
        <f t="shared" si="5"/>
        <v>99.98093967406842</v>
      </c>
      <c r="G111" s="80">
        <f>G112+G113</f>
        <v>25614.88217</v>
      </c>
      <c r="H111" s="25">
        <f>$D:$D/$G:$G*100</f>
        <v>200.6876301785463</v>
      </c>
      <c r="I111" s="33">
        <f>D111-Февраль!D109</f>
        <v>32945.85999999999</v>
      </c>
    </row>
    <row r="112" spans="1:9" ht="12.75">
      <c r="A112" s="8" t="s">
        <v>47</v>
      </c>
      <c r="B112" s="27">
        <v>219701.1</v>
      </c>
      <c r="C112" s="27">
        <v>37688.6</v>
      </c>
      <c r="D112" s="27">
        <v>37688.6</v>
      </c>
      <c r="E112" s="28">
        <f t="shared" si="4"/>
        <v>17.15448853009839</v>
      </c>
      <c r="F112" s="28">
        <f t="shared" si="5"/>
        <v>100</v>
      </c>
      <c r="G112" s="66">
        <v>25140.84447</v>
      </c>
      <c r="H112" s="28">
        <f>$D:$D/$G:$G*100</f>
        <v>149.90984111521374</v>
      </c>
      <c r="I112" s="33">
        <f>D112-Февраль!D110</f>
        <v>19629.989999999998</v>
      </c>
    </row>
    <row r="113" spans="1:9" ht="25.5">
      <c r="A113" s="8" t="s">
        <v>48</v>
      </c>
      <c r="B113" s="27">
        <v>88036.34</v>
      </c>
      <c r="C113" s="27">
        <v>13727.1</v>
      </c>
      <c r="D113" s="27">
        <v>13717.3</v>
      </c>
      <c r="E113" s="28">
        <f t="shared" si="4"/>
        <v>15.581406496453623</v>
      </c>
      <c r="F113" s="28">
        <f t="shared" si="5"/>
        <v>99.92860837321793</v>
      </c>
      <c r="G113" s="66">
        <v>474.03770000000003</v>
      </c>
      <c r="H113" s="28">
        <v>0</v>
      </c>
      <c r="I113" s="33">
        <f>D113-Февраль!D111</f>
        <v>13315.869999999999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G115</f>
        <v>0</v>
      </c>
      <c r="H114" s="25">
        <v>0</v>
      </c>
      <c r="I114" s="33">
        <f>D114-Февраль!D112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4">
        <v>0</v>
      </c>
      <c r="H115" s="28">
        <v>0</v>
      </c>
      <c r="I115" s="33">
        <f>D115-Февраль!D113</f>
        <v>0</v>
      </c>
    </row>
    <row r="116" spans="1:9" ht="12.75">
      <c r="A116" s="11" t="s">
        <v>49</v>
      </c>
      <c r="B116" s="33">
        <f>B117+B118+B119+B120</f>
        <v>161154.18</v>
      </c>
      <c r="C116" s="33">
        <f>C117+C118+C119+C120</f>
        <v>27056.9</v>
      </c>
      <c r="D116" s="33">
        <f>D117+D118+D119+D120</f>
        <v>26850.000000000004</v>
      </c>
      <c r="E116" s="33">
        <f>E117+E118+E119+E120</f>
        <v>56.30164777955693</v>
      </c>
      <c r="F116" s="33">
        <f>F117+F118+F119+F120</f>
        <v>188.82898425706276</v>
      </c>
      <c r="G116" s="80">
        <f>G117++G118+G119+G120</f>
        <v>16840.61793</v>
      </c>
      <c r="H116" s="25">
        <v>0</v>
      </c>
      <c r="I116" s="33">
        <f>D116-Февраль!D114</f>
        <v>18322.600000000006</v>
      </c>
    </row>
    <row r="117" spans="1:9" ht="12.75">
      <c r="A117" s="8" t="s">
        <v>50</v>
      </c>
      <c r="B117" s="27">
        <v>3025.38</v>
      </c>
      <c r="C117" s="27">
        <v>377.3</v>
      </c>
      <c r="D117" s="27">
        <v>377.3</v>
      </c>
      <c r="E117" s="28">
        <f aca="true" t="shared" si="6" ref="E117:E122">$D:$D/$B:$B*100</f>
        <v>12.471160647588071</v>
      </c>
      <c r="F117" s="28">
        <v>0</v>
      </c>
      <c r="G117" s="66">
        <v>426.51244</v>
      </c>
      <c r="H117" s="28">
        <v>0</v>
      </c>
      <c r="I117" s="33">
        <f>D117-Февраль!D115</f>
        <v>188.66000000000003</v>
      </c>
    </row>
    <row r="118" spans="1:9" ht="12.75">
      <c r="A118" s="8" t="s">
        <v>52</v>
      </c>
      <c r="B118" s="27">
        <v>106148.5</v>
      </c>
      <c r="C118" s="27">
        <v>23285.9</v>
      </c>
      <c r="D118" s="27">
        <v>23285.9</v>
      </c>
      <c r="E118" s="28">
        <f t="shared" si="6"/>
        <v>21.937097556724776</v>
      </c>
      <c r="F118" s="28">
        <f>$D:$D/$C:$C*100</f>
        <v>100</v>
      </c>
      <c r="G118" s="66">
        <v>15146.01516</v>
      </c>
      <c r="H118" s="28">
        <v>0</v>
      </c>
      <c r="I118" s="33">
        <f>D118-Февраль!D117</f>
        <v>15613.900000000001</v>
      </c>
    </row>
    <row r="119" spans="1:9" ht="12.75">
      <c r="A119" s="8" t="s">
        <v>53</v>
      </c>
      <c r="B119" s="27">
        <v>49450.5</v>
      </c>
      <c r="C119" s="27">
        <v>2930</v>
      </c>
      <c r="D119" s="27">
        <v>2774.9</v>
      </c>
      <c r="E119" s="28">
        <f t="shared" si="6"/>
        <v>5.6114700559145</v>
      </c>
      <c r="F119" s="28">
        <v>0</v>
      </c>
      <c r="G119" s="66">
        <v>809.455</v>
      </c>
      <c r="H119" s="28">
        <v>0</v>
      </c>
      <c r="I119" s="33">
        <f>D119-Февраль!D118</f>
        <v>2261.04</v>
      </c>
    </row>
    <row r="120" spans="1:9" ht="12.75">
      <c r="A120" s="8" t="s">
        <v>54</v>
      </c>
      <c r="B120" s="27">
        <v>2529.8</v>
      </c>
      <c r="C120" s="27">
        <v>463.7</v>
      </c>
      <c r="D120" s="27">
        <v>411.9</v>
      </c>
      <c r="E120" s="28">
        <f t="shared" si="6"/>
        <v>16.281919519329588</v>
      </c>
      <c r="F120" s="28">
        <f>$D:$D/$C:$C*100</f>
        <v>88.82898425706274</v>
      </c>
      <c r="G120" s="66">
        <v>458.63533</v>
      </c>
      <c r="H120" s="28">
        <f>$D:$D/$G:$G*100</f>
        <v>89.80991499281139</v>
      </c>
      <c r="I120" s="33">
        <f>D120-Февраль!D119</f>
        <v>259</v>
      </c>
    </row>
    <row r="121" spans="1:9" ht="12.75">
      <c r="A121" s="11" t="s">
        <v>61</v>
      </c>
      <c r="B121" s="26">
        <f>B122+B123+B124</f>
        <v>351596.1</v>
      </c>
      <c r="C121" s="26">
        <f>C122+C123+C124</f>
        <v>44728.9</v>
      </c>
      <c r="D121" s="26">
        <f>D122+D123+D124</f>
        <v>44725.8</v>
      </c>
      <c r="E121" s="25">
        <f t="shared" si="6"/>
        <v>12.72078956507197</v>
      </c>
      <c r="F121" s="25">
        <f>$D:$D/$C:$C*100</f>
        <v>99.99306935784247</v>
      </c>
      <c r="G121" s="77">
        <f>G122+G123+G124</f>
        <v>16917.542739999997</v>
      </c>
      <c r="H121" s="25">
        <f>$D:$D/$G:$G*100</f>
        <v>264.3752741599399</v>
      </c>
      <c r="I121" s="33">
        <f>D121-Февраль!D120</f>
        <v>26125.160000000003</v>
      </c>
    </row>
    <row r="122" spans="1:9" ht="12.75">
      <c r="A122" s="92" t="s">
        <v>63</v>
      </c>
      <c r="B122" s="27">
        <v>290769.3</v>
      </c>
      <c r="C122" s="27">
        <v>31917.7</v>
      </c>
      <c r="D122" s="27">
        <v>31917.7</v>
      </c>
      <c r="E122" s="28">
        <f t="shared" si="6"/>
        <v>10.976984158919116</v>
      </c>
      <c r="F122" s="28">
        <f>$D:$D/$C:$C*100</f>
        <v>100</v>
      </c>
      <c r="G122" s="66">
        <v>15542.313289999998</v>
      </c>
      <c r="H122" s="28">
        <v>0</v>
      </c>
      <c r="I122" s="33">
        <f>D122-Февраль!D121</f>
        <v>21134.13</v>
      </c>
    </row>
    <row r="123" spans="1:9" ht="24.75" customHeight="1">
      <c r="A123" s="92" t="s">
        <v>154</v>
      </c>
      <c r="B123" s="27">
        <v>55775.1</v>
      </c>
      <c r="C123" s="27">
        <v>11607.8</v>
      </c>
      <c r="D123" s="27">
        <v>11607.8</v>
      </c>
      <c r="E123" s="28">
        <v>0</v>
      </c>
      <c r="F123" s="28">
        <v>0</v>
      </c>
      <c r="G123" s="66">
        <v>602.98484</v>
      </c>
      <c r="H123" s="28">
        <v>0</v>
      </c>
      <c r="I123" s="33">
        <f>D123-Февраль!D122</f>
        <v>4449.239999999999</v>
      </c>
    </row>
    <row r="124" spans="1:9" ht="25.5">
      <c r="A124" s="12" t="s">
        <v>73</v>
      </c>
      <c r="B124" s="27">
        <v>5051.7</v>
      </c>
      <c r="C124" s="27">
        <v>1203.4</v>
      </c>
      <c r="D124" s="27">
        <v>1200.3</v>
      </c>
      <c r="E124" s="28">
        <f>$D:$D/$B:$B*100</f>
        <v>23.760318308688163</v>
      </c>
      <c r="F124" s="28">
        <f>$D:$D/$C:$C*100</f>
        <v>99.7423965431278</v>
      </c>
      <c r="G124" s="66">
        <v>772.24461</v>
      </c>
      <c r="H124" s="28">
        <v>0</v>
      </c>
      <c r="I124" s="33">
        <f>D124-Февраль!D123</f>
        <v>541.79</v>
      </c>
    </row>
    <row r="125" spans="1:9" ht="26.25" customHeight="1">
      <c r="A125" s="13" t="s">
        <v>80</v>
      </c>
      <c r="B125" s="26">
        <f>B126</f>
        <v>100</v>
      </c>
      <c r="C125" s="26">
        <f>C126</f>
        <v>5.75</v>
      </c>
      <c r="D125" s="26">
        <f>D126</f>
        <v>5.75</v>
      </c>
      <c r="E125" s="28">
        <f>$D:$D/$B:$B*100</f>
        <v>5.75</v>
      </c>
      <c r="F125" s="28">
        <v>0</v>
      </c>
      <c r="G125" s="66">
        <v>2.01384</v>
      </c>
      <c r="H125" s="28">
        <v>0</v>
      </c>
      <c r="I125" s="33">
        <f>D125-Февраль!D124</f>
        <v>0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93">
        <f>2013.84/1000</f>
        <v>2.01384</v>
      </c>
      <c r="H126" s="28">
        <v>0</v>
      </c>
      <c r="I126" s="33">
        <f>D126-Февраль!D125</f>
        <v>0</v>
      </c>
    </row>
    <row r="127" spans="1:9" ht="15.75" customHeight="1">
      <c r="A127" s="14" t="s">
        <v>55</v>
      </c>
      <c r="B127" s="33">
        <f>B80+B89+B90+B91+B96+B104+B111+B114+B116+B121+B125+B101</f>
        <v>4158425.1000000006</v>
      </c>
      <c r="C127" s="33">
        <f>C80+C89+C90+C91+C96+C104+C111+C114+C116+C121+C125+C101</f>
        <v>626268.75</v>
      </c>
      <c r="D127" s="33">
        <f>D80+D89+D90+D91+D96+D104+D111+D114+D116+D121+D125+D101</f>
        <v>625444.65</v>
      </c>
      <c r="E127" s="25">
        <f>$D:$D/$B:$B*100</f>
        <v>15.04042119214796</v>
      </c>
      <c r="F127" s="25">
        <f>$D:$D/$C:$C*100</f>
        <v>99.8684111254154</v>
      </c>
      <c r="G127" s="33">
        <v>421362.94799</v>
      </c>
      <c r="H127" s="25">
        <f>$D:$D/$G:$G*100</f>
        <v>148.4337085127009</v>
      </c>
      <c r="I127" s="33">
        <f>D127-Февраль!D126</f>
        <v>285661.38</v>
      </c>
    </row>
    <row r="128" spans="1:9" ht="26.25" customHeight="1">
      <c r="A128" s="79" t="s">
        <v>56</v>
      </c>
      <c r="B128" s="80">
        <f>B74-B127</f>
        <v>-171004.7400000007</v>
      </c>
      <c r="C128" s="80">
        <f>C74-C127</f>
        <v>286388.05000000005</v>
      </c>
      <c r="D128" s="80">
        <f>D74-D127</f>
        <v>152262.05000000005</v>
      </c>
      <c r="E128" s="80"/>
      <c r="F128" s="80"/>
      <c r="G128" s="80">
        <v>49069.46248999995</v>
      </c>
      <c r="H128" s="80"/>
      <c r="I128" s="33">
        <f>D128-Февраль!D127</f>
        <v>124435.67000000004</v>
      </c>
    </row>
    <row r="129" spans="1:9" ht="24" customHeight="1">
      <c r="A129" s="1" t="s">
        <v>57</v>
      </c>
      <c r="B129" s="27" t="s">
        <v>159</v>
      </c>
      <c r="C129" s="27"/>
      <c r="D129" s="27" t="s">
        <v>167</v>
      </c>
      <c r="E129" s="27"/>
      <c r="F129" s="27"/>
      <c r="G129" s="27" t="s">
        <v>168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 t="shared" si="7"/>
        <v>217485.5</v>
      </c>
      <c r="E130" s="77">
        <f t="shared" si="7"/>
        <v>0</v>
      </c>
      <c r="F130" s="77">
        <f t="shared" si="7"/>
        <v>0</v>
      </c>
      <c r="G130" s="26">
        <v>83341.6</v>
      </c>
      <c r="H130" s="77">
        <f t="shared" si="7"/>
        <v>0</v>
      </c>
      <c r="I130" s="33">
        <f>D130-Февраль!D129</f>
        <v>125435.6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27"/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144761.1</v>
      </c>
      <c r="E132" s="27"/>
      <c r="F132" s="27"/>
      <c r="G132" s="27">
        <v>3594.5</v>
      </c>
      <c r="H132" s="35"/>
      <c r="I132" s="33">
        <f>D132-Февраль!D131</f>
        <v>98954.3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f>217485.5-144761.1</f>
        <v>72724.4</v>
      </c>
      <c r="E133" s="27"/>
      <c r="F133" s="27"/>
      <c r="G133" s="27">
        <v>79747.1</v>
      </c>
      <c r="H133" s="35"/>
      <c r="I133" s="33">
        <f>D133-Февраль!D132</f>
        <v>26481.300000000003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26">
        <f>G135-G136</f>
        <v>-12050</v>
      </c>
      <c r="H134" s="26">
        <f t="shared" si="8"/>
        <v>0</v>
      </c>
      <c r="I134" s="33">
        <f>D134-Февраль!D133</f>
        <v>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27">
        <v>0</v>
      </c>
      <c r="H135" s="37"/>
      <c r="I135" s="33">
        <f>D135-Февраль!D134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27">
        <v>12050</v>
      </c>
      <c r="H136" s="37"/>
      <c r="I136" s="33">
        <f>D136-Февраль!D135</f>
        <v>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2"/>
  <sheetViews>
    <sheetView view="pageBreakPreview" zoomScaleSheetLayoutView="100" zoomScalePageLayoutView="0" workbookViewId="0" topLeftCell="A1">
      <pane xSplit="1" ySplit="6" topLeftCell="B1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35" sqref="B135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2.75">
      <c r="A1" s="111" t="s">
        <v>102</v>
      </c>
      <c r="B1" s="111"/>
      <c r="C1" s="111"/>
      <c r="D1" s="111"/>
      <c r="E1" s="111"/>
      <c r="F1" s="111"/>
      <c r="G1" s="111"/>
      <c r="H1" s="111"/>
      <c r="I1" s="86"/>
    </row>
    <row r="2" spans="1:9" ht="12.75">
      <c r="A2" s="112" t="s">
        <v>170</v>
      </c>
      <c r="B2" s="112"/>
      <c r="C2" s="112"/>
      <c r="D2" s="112"/>
      <c r="E2" s="112"/>
      <c r="F2" s="112"/>
      <c r="G2" s="112"/>
      <c r="H2" s="112"/>
      <c r="I2" s="87"/>
    </row>
    <row r="3" spans="1:9" ht="5.25" customHeight="1" hidden="1">
      <c r="A3" s="107" t="s">
        <v>0</v>
      </c>
      <c r="B3" s="107"/>
      <c r="C3" s="107"/>
      <c r="D3" s="107"/>
      <c r="E3" s="107"/>
      <c r="F3" s="107"/>
      <c r="G3" s="107"/>
      <c r="H3" s="107"/>
      <c r="I3" s="31"/>
    </row>
    <row r="4" spans="1:9" ht="45" customHeight="1">
      <c r="A4" s="4" t="s">
        <v>1</v>
      </c>
      <c r="B4" s="17" t="s">
        <v>2</v>
      </c>
      <c r="C4" s="17" t="s">
        <v>169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3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190506.76</v>
      </c>
      <c r="D7" s="33">
        <f>D8+D17+D22+D27+D30+D38+D47+D48+D49+D53+D64+D37</f>
        <v>203257.98</v>
      </c>
      <c r="E7" s="25">
        <f>D7/B7*100</f>
        <v>28.13733620612217</v>
      </c>
      <c r="F7" s="25">
        <v>27699.089999999997</v>
      </c>
      <c r="G7" s="33">
        <f>'[1]Апрель'!D7</f>
        <v>221241.6</v>
      </c>
      <c r="H7" s="25">
        <f>C7/G7*100</f>
        <v>86.10801946830976</v>
      </c>
      <c r="I7" s="33">
        <f>D7-март!D7</f>
        <v>80183.47999999998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85621</v>
      </c>
      <c r="D8" s="25">
        <f>D9+D10</f>
        <v>86612.71000000002</v>
      </c>
      <c r="E8" s="25">
        <f aca="true" t="shared" si="0" ref="E8:E73">D8/B8*100</f>
        <v>23.708360432447115</v>
      </c>
      <c r="F8" s="25">
        <v>10645.39</v>
      </c>
      <c r="G8" s="33">
        <f>'[1]Апрель'!D8</f>
        <v>126230.90000000002</v>
      </c>
      <c r="H8" s="25">
        <f aca="true" t="shared" si="1" ref="H8:H73">C8/G8*100</f>
        <v>67.82887549720392</v>
      </c>
      <c r="I8" s="33">
        <f>D8-март!D8</f>
        <v>21460.210000000006</v>
      </c>
    </row>
    <row r="9" spans="1:9" ht="25.5">
      <c r="A9" s="54" t="s">
        <v>5</v>
      </c>
      <c r="B9" s="27">
        <v>8631</v>
      </c>
      <c r="C9" s="27">
        <v>5750</v>
      </c>
      <c r="D9" s="27">
        <v>6328.13</v>
      </c>
      <c r="E9" s="27">
        <f t="shared" si="0"/>
        <v>73.31861893175761</v>
      </c>
      <c r="F9" s="25">
        <v>200.86</v>
      </c>
      <c r="G9" s="33">
        <f>'[1]Апрель'!D9</f>
        <v>2223.1</v>
      </c>
      <c r="H9" s="25">
        <f t="shared" si="1"/>
        <v>258.6478341055283</v>
      </c>
      <c r="I9" s="33">
        <f>D9-март!D9</f>
        <v>2007.33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79871</v>
      </c>
      <c r="D10" s="33">
        <f>SUM(D11:D16)</f>
        <v>80284.58000000002</v>
      </c>
      <c r="E10" s="25">
        <f t="shared" si="0"/>
        <v>22.507932556310077</v>
      </c>
      <c r="F10" s="25">
        <v>10444.529999999999</v>
      </c>
      <c r="G10" s="33">
        <f>'[1]Апрель'!D10</f>
        <v>124007.80000000002</v>
      </c>
      <c r="H10" s="25">
        <f t="shared" si="1"/>
        <v>64.40804530037626</v>
      </c>
      <c r="I10" s="33">
        <f>D10-март!D10</f>
        <v>19452.880000000005</v>
      </c>
    </row>
    <row r="11" spans="1:9" ht="51">
      <c r="A11" s="51" t="s">
        <v>74</v>
      </c>
      <c r="B11" s="27">
        <v>336860.2</v>
      </c>
      <c r="C11" s="27">
        <v>74000</v>
      </c>
      <c r="D11" s="27">
        <v>76932.26</v>
      </c>
      <c r="E11" s="27">
        <f t="shared" si="0"/>
        <v>22.838037856653887</v>
      </c>
      <c r="F11" s="27">
        <v>10058</v>
      </c>
      <c r="G11" s="33">
        <f>'[1]Апрель'!D11</f>
        <v>73871.1</v>
      </c>
      <c r="H11" s="25">
        <f t="shared" si="1"/>
        <v>100.17449313737036</v>
      </c>
      <c r="I11" s="33">
        <f>D11-март!D11</f>
        <v>17226.959999999992</v>
      </c>
    </row>
    <row r="12" spans="1:9" ht="51" customHeight="1">
      <c r="A12" s="51" t="s">
        <v>75</v>
      </c>
      <c r="B12" s="27">
        <v>1745</v>
      </c>
      <c r="C12" s="27">
        <v>581</v>
      </c>
      <c r="D12" s="27">
        <v>900.57</v>
      </c>
      <c r="E12" s="27">
        <f t="shared" si="0"/>
        <v>51.60859598853869</v>
      </c>
      <c r="F12" s="27">
        <v>81.56</v>
      </c>
      <c r="G12" s="33">
        <f>'[1]Апрель'!D12</f>
        <v>867.9</v>
      </c>
      <c r="H12" s="25">
        <f t="shared" si="1"/>
        <v>66.94319622076276</v>
      </c>
      <c r="I12" s="33">
        <f>D12-март!D12</f>
        <v>1066.77</v>
      </c>
    </row>
    <row r="13" spans="1:9" ht="25.5">
      <c r="A13" s="51" t="s">
        <v>76</v>
      </c>
      <c r="B13" s="27">
        <v>5600.4</v>
      </c>
      <c r="C13" s="27">
        <v>1630</v>
      </c>
      <c r="D13" s="27">
        <v>41.77</v>
      </c>
      <c r="E13" s="27">
        <f t="shared" si="0"/>
        <v>0.7458395828869367</v>
      </c>
      <c r="F13" s="27">
        <v>117.15</v>
      </c>
      <c r="G13" s="33">
        <f>'[1]Апрель'!D13</f>
        <v>1510.6</v>
      </c>
      <c r="H13" s="25">
        <f t="shared" si="1"/>
        <v>107.90414404872237</v>
      </c>
      <c r="I13" s="33">
        <f>D13-март!D13</f>
        <v>90.47</v>
      </c>
    </row>
    <row r="14" spans="1:9" ht="63.75">
      <c r="A14" s="51" t="s">
        <v>78</v>
      </c>
      <c r="B14" s="27">
        <v>3850</v>
      </c>
      <c r="C14" s="27">
        <v>1160</v>
      </c>
      <c r="D14" s="27">
        <v>1164.13</v>
      </c>
      <c r="E14" s="27">
        <f t="shared" si="0"/>
        <v>30.237142857142864</v>
      </c>
      <c r="F14" s="27">
        <v>187.82</v>
      </c>
      <c r="G14" s="33">
        <f>'[1]Апрель'!D14</f>
        <v>1181.1</v>
      </c>
      <c r="H14" s="25">
        <f t="shared" si="1"/>
        <v>98.21352976039286</v>
      </c>
      <c r="I14" s="33">
        <f>D14-март!D14</f>
        <v>336.83000000000015</v>
      </c>
    </row>
    <row r="15" spans="1:9" ht="37.5" customHeight="1">
      <c r="A15" s="51" t="s">
        <v>145</v>
      </c>
      <c r="B15" s="27">
        <v>8639</v>
      </c>
      <c r="C15" s="27">
        <v>2500</v>
      </c>
      <c r="D15" s="27">
        <v>43.1</v>
      </c>
      <c r="E15" s="27">
        <f t="shared" si="0"/>
        <v>0.4989003356870008</v>
      </c>
      <c r="F15" s="27"/>
      <c r="G15" s="33">
        <f>'[1]Апрель'!D15</f>
        <v>46577.1</v>
      </c>
      <c r="H15" s="25">
        <f t="shared" si="1"/>
        <v>5.367444516726031</v>
      </c>
      <c r="I15" s="33">
        <f>D15-март!D15</f>
        <v>-262.09999999999997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1202.75</v>
      </c>
      <c r="E16" s="27">
        <v>0</v>
      </c>
      <c r="F16" s="27"/>
      <c r="G16" s="33">
        <v>0</v>
      </c>
      <c r="H16" s="25">
        <v>0</v>
      </c>
      <c r="I16" s="33">
        <f>D16-март!D16</f>
        <v>993.95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21275</v>
      </c>
      <c r="D17" s="26">
        <f>SUM(D18:D21)</f>
        <v>21302.38</v>
      </c>
      <c r="E17" s="25">
        <f t="shared" si="0"/>
        <v>36.05106562151693</v>
      </c>
      <c r="F17" s="25">
        <v>1853.18</v>
      </c>
      <c r="G17" s="33">
        <f>'[1]Апрель'!D16</f>
        <v>17999.9</v>
      </c>
      <c r="H17" s="25">
        <f t="shared" si="1"/>
        <v>118.19510108389491</v>
      </c>
      <c r="I17" s="33">
        <f>D17-март!D17</f>
        <v>5415.780000000001</v>
      </c>
    </row>
    <row r="18" spans="1:9" ht="37.5" customHeight="1">
      <c r="A18" s="37" t="s">
        <v>83</v>
      </c>
      <c r="B18" s="27">
        <v>27987.73</v>
      </c>
      <c r="C18" s="27">
        <v>10745</v>
      </c>
      <c r="D18" s="27">
        <v>10949</v>
      </c>
      <c r="E18" s="27">
        <f t="shared" si="0"/>
        <v>39.120714684613574</v>
      </c>
      <c r="F18" s="27">
        <v>844.23</v>
      </c>
      <c r="G18" s="33">
        <f>'[1]Апрель'!D17</f>
        <v>8785.5</v>
      </c>
      <c r="H18" s="25">
        <f t="shared" si="1"/>
        <v>122.3037960275454</v>
      </c>
      <c r="I18" s="33">
        <f>D18-март!D18</f>
        <v>2782</v>
      </c>
    </row>
    <row r="19" spans="1:9" ht="56.25" customHeight="1">
      <c r="A19" s="37" t="s">
        <v>84</v>
      </c>
      <c r="B19" s="27">
        <v>194.4</v>
      </c>
      <c r="C19" s="27">
        <v>60</v>
      </c>
      <c r="D19" s="27">
        <v>50.27</v>
      </c>
      <c r="E19" s="27">
        <f t="shared" si="0"/>
        <v>25.859053497942387</v>
      </c>
      <c r="F19" s="27">
        <v>5.74</v>
      </c>
      <c r="G19" s="33">
        <f>'[1]Апрель'!D18</f>
        <v>60.3</v>
      </c>
      <c r="H19" s="25">
        <f t="shared" si="1"/>
        <v>99.50248756218906</v>
      </c>
      <c r="I19" s="33">
        <f>D19-март!D19</f>
        <v>16.770000000000003</v>
      </c>
    </row>
    <row r="20" spans="1:9" ht="55.5" customHeight="1">
      <c r="A20" s="37" t="s">
        <v>85</v>
      </c>
      <c r="B20" s="27">
        <v>34598.53</v>
      </c>
      <c r="C20" s="27">
        <v>11750</v>
      </c>
      <c r="D20" s="27">
        <v>11659.23</v>
      </c>
      <c r="E20" s="27">
        <f t="shared" si="0"/>
        <v>33.698628236517564</v>
      </c>
      <c r="F20" s="27">
        <v>1158.41</v>
      </c>
      <c r="G20" s="33">
        <f>'[1]Апрель'!D19</f>
        <v>10425.9</v>
      </c>
      <c r="H20" s="25">
        <f t="shared" si="1"/>
        <v>112.70010262902963</v>
      </c>
      <c r="I20" s="33">
        <f>D20-март!D20</f>
        <v>2926.529999999999</v>
      </c>
    </row>
    <row r="21" spans="1:9" ht="15.75" customHeight="1">
      <c r="A21" s="37" t="s">
        <v>86</v>
      </c>
      <c r="B21" s="27">
        <v>-3691.2</v>
      </c>
      <c r="C21" s="27">
        <v>-1280</v>
      </c>
      <c r="D21" s="27">
        <v>-1356.12</v>
      </c>
      <c r="E21" s="27">
        <f t="shared" si="0"/>
        <v>36.73927178153446</v>
      </c>
      <c r="F21" s="27">
        <v>-155.2</v>
      </c>
      <c r="G21" s="33">
        <f>'[1]Апрель'!D20</f>
        <v>-1271.9</v>
      </c>
      <c r="H21" s="25">
        <f t="shared" si="1"/>
        <v>100.63684251906595</v>
      </c>
      <c r="I21" s="33">
        <f>D21-март!D21</f>
        <v>-309.52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58000</v>
      </c>
      <c r="D22" s="26">
        <f>SUM(D23:D26)</f>
        <v>67908.26000000001</v>
      </c>
      <c r="E22" s="25">
        <f t="shared" si="0"/>
        <v>45.587854026515615</v>
      </c>
      <c r="F22" s="25">
        <v>7362.96</v>
      </c>
      <c r="G22" s="33">
        <f>'[1]Апрель'!D21</f>
        <v>46749.100000000006</v>
      </c>
      <c r="H22" s="25">
        <f t="shared" si="1"/>
        <v>124.06655957013075</v>
      </c>
      <c r="I22" s="33">
        <f>D22-март!D22</f>
        <v>47580.36000000001</v>
      </c>
    </row>
    <row r="23" spans="1:9" ht="28.5" customHeight="1">
      <c r="A23" s="51" t="s">
        <v>146</v>
      </c>
      <c r="B23" s="27">
        <v>116885.1</v>
      </c>
      <c r="C23" s="27">
        <v>45500</v>
      </c>
      <c r="D23" s="27">
        <v>55550.26</v>
      </c>
      <c r="E23" s="27">
        <f t="shared" si="0"/>
        <v>47.525527205777294</v>
      </c>
      <c r="F23" s="27"/>
      <c r="G23" s="33">
        <f>'[1]Апрель'!D22</f>
        <v>35948.5</v>
      </c>
      <c r="H23" s="25">
        <f t="shared" si="1"/>
        <v>126.56995424009348</v>
      </c>
      <c r="I23" s="33">
        <f>D23-март!D23</f>
        <v>33899.36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-657.63</v>
      </c>
      <c r="E24" s="27" t="s">
        <v>148</v>
      </c>
      <c r="F24" s="27">
        <v>7198.75</v>
      </c>
      <c r="G24" s="33">
        <f>'[1]Апрель'!D23</f>
        <v>57.4</v>
      </c>
      <c r="H24" s="25">
        <f t="shared" si="1"/>
        <v>0</v>
      </c>
      <c r="I24" s="33">
        <f>D24-март!D24</f>
        <v>27.870000000000005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426.1</v>
      </c>
      <c r="E25" s="27">
        <f t="shared" si="0"/>
        <v>59.5944055944056</v>
      </c>
      <c r="F25" s="27">
        <v>113.58</v>
      </c>
      <c r="G25" s="33">
        <f>'[1]Апрель'!D24</f>
        <v>536.8</v>
      </c>
      <c r="H25" s="25">
        <f t="shared" si="1"/>
        <v>55.88673621460507</v>
      </c>
      <c r="I25" s="33">
        <f>D25-март!D25</f>
        <v>6.2000000000000455</v>
      </c>
    </row>
    <row r="26" spans="1:9" ht="27" customHeight="1">
      <c r="A26" s="51" t="s">
        <v>88</v>
      </c>
      <c r="B26" s="27">
        <v>31361.2</v>
      </c>
      <c r="C26" s="27">
        <v>12200</v>
      </c>
      <c r="D26" s="27">
        <v>12589.53</v>
      </c>
      <c r="E26" s="27">
        <f t="shared" si="0"/>
        <v>40.14364883996786</v>
      </c>
      <c r="F26" s="27">
        <v>50.63</v>
      </c>
      <c r="G26" s="33">
        <f>'[1]Апрель'!D25</f>
        <v>10206.4</v>
      </c>
      <c r="H26" s="25">
        <f t="shared" si="1"/>
        <v>119.53284213826618</v>
      </c>
      <c r="I26" s="33">
        <f>D26-март!D26</f>
        <v>13646.93</v>
      </c>
    </row>
    <row r="27" spans="1:9" ht="12.75">
      <c r="A27" s="54" t="s">
        <v>8</v>
      </c>
      <c r="B27" s="26">
        <f>SUM(B28:B29)</f>
        <v>42454.6</v>
      </c>
      <c r="C27" s="26">
        <f>SUM(C28:C29)</f>
        <v>5500</v>
      </c>
      <c r="D27" s="26">
        <f>SUM(D28:D29)</f>
        <v>5878.15</v>
      </c>
      <c r="E27" s="25">
        <f t="shared" si="0"/>
        <v>13.845731675719474</v>
      </c>
      <c r="F27" s="25">
        <v>2465.82</v>
      </c>
      <c r="G27" s="33">
        <f>'[1]Апрель'!D26</f>
        <v>6167.3</v>
      </c>
      <c r="H27" s="25">
        <f t="shared" si="1"/>
        <v>89.18003015906474</v>
      </c>
      <c r="I27" s="33">
        <f>D27-март!D27</f>
        <v>2056.5499999999997</v>
      </c>
    </row>
    <row r="28" spans="1:9" ht="12.75">
      <c r="A28" s="51" t="s">
        <v>106</v>
      </c>
      <c r="B28" s="27">
        <v>24668.5</v>
      </c>
      <c r="C28" s="27">
        <v>2200</v>
      </c>
      <c r="D28" s="27">
        <v>1708.95</v>
      </c>
      <c r="E28" s="27">
        <f t="shared" si="0"/>
        <v>6.927660781968909</v>
      </c>
      <c r="F28" s="27">
        <v>536.1</v>
      </c>
      <c r="G28" s="33">
        <f>'[1]Апрель'!D27</f>
        <v>2496.5</v>
      </c>
      <c r="H28" s="25">
        <f t="shared" si="1"/>
        <v>88.12337272181054</v>
      </c>
      <c r="I28" s="33">
        <f>D28-март!D28</f>
        <v>225.85000000000014</v>
      </c>
    </row>
    <row r="29" spans="1:9" ht="12.75">
      <c r="A29" s="51" t="s">
        <v>107</v>
      </c>
      <c r="B29" s="27">
        <v>17786.1</v>
      </c>
      <c r="C29" s="27">
        <v>3300</v>
      </c>
      <c r="D29" s="27">
        <v>4169.2</v>
      </c>
      <c r="E29" s="27">
        <f t="shared" si="0"/>
        <v>23.440776786366882</v>
      </c>
      <c r="F29" s="27">
        <v>1929.72</v>
      </c>
      <c r="G29" s="33">
        <f>'[1]Апрель'!D28</f>
        <v>3670.8</v>
      </c>
      <c r="H29" s="25">
        <f t="shared" si="1"/>
        <v>89.89865969271004</v>
      </c>
      <c r="I29" s="33">
        <f>D29-март!D29</f>
        <v>1830.6999999999998</v>
      </c>
    </row>
    <row r="30" spans="1:9" ht="12.75">
      <c r="A30" s="47" t="s">
        <v>9</v>
      </c>
      <c r="B30" s="26">
        <f>SUM(B31:B33)</f>
        <v>15600</v>
      </c>
      <c r="C30" s="26">
        <f>SUM(C31:C33)</f>
        <v>4510</v>
      </c>
      <c r="D30" s="26">
        <f>SUM(D31:D33)</f>
        <v>5838.1</v>
      </c>
      <c r="E30" s="26">
        <f t="shared" si="0"/>
        <v>37.42371794871795</v>
      </c>
      <c r="F30" s="26">
        <v>793.07</v>
      </c>
      <c r="G30" s="33">
        <f>'[1]Апрель'!D29</f>
        <v>5111.099999999999</v>
      </c>
      <c r="H30" s="25">
        <f t="shared" si="1"/>
        <v>88.23932225939622</v>
      </c>
      <c r="I30" s="33">
        <f>D30-март!D30</f>
        <v>1637.6000000000004</v>
      </c>
    </row>
    <row r="31" spans="1:9" ht="25.5">
      <c r="A31" s="51" t="s">
        <v>10</v>
      </c>
      <c r="B31" s="27">
        <v>15550</v>
      </c>
      <c r="C31" s="27">
        <v>4500</v>
      </c>
      <c r="D31" s="27">
        <v>5818.1</v>
      </c>
      <c r="E31" s="27">
        <f t="shared" si="0"/>
        <v>37.41543408360129</v>
      </c>
      <c r="F31" s="27">
        <v>793.07</v>
      </c>
      <c r="G31" s="33">
        <f>'[1]Апрель'!D30</f>
        <v>5061.9</v>
      </c>
      <c r="H31" s="25">
        <f t="shared" si="1"/>
        <v>88.89942511705091</v>
      </c>
      <c r="I31" s="33">
        <f>D31-март!D31</f>
        <v>1637.6000000000004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33">
        <f>'[1]Апрель'!D31</f>
        <v>19.2</v>
      </c>
      <c r="H32" s="25">
        <f t="shared" si="1"/>
        <v>0</v>
      </c>
      <c r="I32" s="33">
        <f>D32-март!D32</f>
        <v>0</v>
      </c>
    </row>
    <row r="33" spans="1:9" ht="25.5">
      <c r="A33" s="51" t="s">
        <v>90</v>
      </c>
      <c r="B33" s="27">
        <v>50</v>
      </c>
      <c r="C33" s="27">
        <v>10</v>
      </c>
      <c r="D33" s="27">
        <v>20</v>
      </c>
      <c r="E33" s="27">
        <f t="shared" si="0"/>
        <v>40</v>
      </c>
      <c r="F33" s="27">
        <v>0</v>
      </c>
      <c r="G33" s="33">
        <f>'[1]Апрель'!D32</f>
        <v>30</v>
      </c>
      <c r="H33" s="25">
        <f t="shared" si="1"/>
        <v>33.33333333333333</v>
      </c>
      <c r="I33" s="33">
        <f>D33-март!D33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33">
        <f>'[1]Апрель'!D33</f>
        <v>0.02</v>
      </c>
      <c r="H34" s="25">
        <f t="shared" si="1"/>
        <v>0</v>
      </c>
      <c r="I34" s="33">
        <f>D34-март!D34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33">
        <f>'[1]Апрель'!D34</f>
        <v>0.02</v>
      </c>
      <c r="H35" s="25">
        <f t="shared" si="1"/>
        <v>0</v>
      </c>
      <c r="I35" s="33">
        <f>D35-март!D35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33">
        <f>'[1]Апрель'!D35</f>
        <v>0</v>
      </c>
      <c r="H36" s="25" t="e">
        <f t="shared" si="1"/>
        <v>#DIV/0!</v>
      </c>
      <c r="I36" s="33">
        <f>D36-март!D36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</v>
      </c>
      <c r="E37" s="25" t="e">
        <f t="shared" si="0"/>
        <v>#DIV/0!</v>
      </c>
      <c r="F37" s="25"/>
      <c r="G37" s="33">
        <v>0</v>
      </c>
      <c r="H37" s="25">
        <v>0</v>
      </c>
      <c r="I37" s="33">
        <f>D37-март!D37</f>
        <v>0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20249.04</v>
      </c>
      <c r="D38" s="26">
        <f>SUM(D40:D46)</f>
        <v>17798.619999999995</v>
      </c>
      <c r="E38" s="26">
        <f t="shared" si="0"/>
        <v>30.84548127187512</v>
      </c>
      <c r="F38" s="26">
        <v>3247.05</v>
      </c>
      <c r="G38" s="33">
        <f>'[1]Апрель'!D36</f>
        <v>16357.699999999997</v>
      </c>
      <c r="H38" s="25">
        <f t="shared" si="1"/>
        <v>123.78904124663006</v>
      </c>
      <c r="I38" s="33">
        <f>D38-март!D38</f>
        <v>5746.119999999995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33">
        <f>'[1]Апрель'!D37</f>
        <v>0</v>
      </c>
      <c r="H39" s="25" t="e">
        <f t="shared" si="1"/>
        <v>#DIV/0!</v>
      </c>
      <c r="I39" s="33">
        <f>D39-март!D39</f>
        <v>0</v>
      </c>
    </row>
    <row r="40" spans="1:9" ht="76.5">
      <c r="A40" s="51" t="s">
        <v>117</v>
      </c>
      <c r="B40" s="27">
        <v>29271.18</v>
      </c>
      <c r="C40" s="27">
        <v>9757.08</v>
      </c>
      <c r="D40" s="27">
        <v>9156.35</v>
      </c>
      <c r="E40" s="27">
        <f t="shared" si="0"/>
        <v>31.281109951836584</v>
      </c>
      <c r="F40" s="27">
        <v>2393.3</v>
      </c>
      <c r="G40" s="33">
        <f>'[1]Апрель'!D38</f>
        <v>9989.9</v>
      </c>
      <c r="H40" s="25">
        <f t="shared" si="1"/>
        <v>97.669446140602</v>
      </c>
      <c r="I40" s="33">
        <f>D40-март!D40</f>
        <v>3742.9500000000007</v>
      </c>
    </row>
    <row r="41" spans="1:9" ht="76.5">
      <c r="A41" s="51" t="s">
        <v>125</v>
      </c>
      <c r="B41" s="27">
        <v>5434.31</v>
      </c>
      <c r="C41" s="27">
        <v>1811.44</v>
      </c>
      <c r="D41" s="27">
        <v>1796.64</v>
      </c>
      <c r="E41" s="27">
        <f t="shared" si="0"/>
        <v>33.061050988994</v>
      </c>
      <c r="F41" s="27">
        <v>75.44</v>
      </c>
      <c r="G41" s="33">
        <f>'[1]Апрель'!D39</f>
        <v>926.9</v>
      </c>
      <c r="H41" s="25">
        <f t="shared" si="1"/>
        <v>195.42992771604273</v>
      </c>
      <c r="I41" s="33">
        <f>D41-март!D41</f>
        <v>471.84000000000015</v>
      </c>
    </row>
    <row r="42" spans="1:9" ht="76.5">
      <c r="A42" s="51" t="s">
        <v>118</v>
      </c>
      <c r="B42" s="27">
        <v>515.73</v>
      </c>
      <c r="C42" s="27">
        <v>166.12</v>
      </c>
      <c r="D42" s="27">
        <v>249.64</v>
      </c>
      <c r="E42" s="27">
        <f t="shared" si="0"/>
        <v>48.40517324956857</v>
      </c>
      <c r="F42" s="27">
        <v>3.43</v>
      </c>
      <c r="G42" s="33">
        <f>'[1]Апрель'!D40</f>
        <v>70.9</v>
      </c>
      <c r="H42" s="25">
        <f t="shared" si="1"/>
        <v>234.3018335684062</v>
      </c>
      <c r="I42" s="33">
        <f>D42-март!D42</f>
        <v>41.73999999999998</v>
      </c>
    </row>
    <row r="43" spans="1:9" ht="38.25">
      <c r="A43" s="51" t="s">
        <v>119</v>
      </c>
      <c r="B43" s="27">
        <v>17384.33</v>
      </c>
      <c r="C43" s="27">
        <v>5794.76</v>
      </c>
      <c r="D43" s="27">
        <v>4733.04</v>
      </c>
      <c r="E43" s="27">
        <f t="shared" si="0"/>
        <v>27.22589826585206</v>
      </c>
      <c r="F43" s="27">
        <v>538.73</v>
      </c>
      <c r="G43" s="33">
        <f>'[1]Апрель'!D41</f>
        <v>4400.2</v>
      </c>
      <c r="H43" s="25">
        <f t="shared" si="1"/>
        <v>131.69310485887007</v>
      </c>
      <c r="I43" s="33">
        <f>D43-март!D43</f>
        <v>1282.94</v>
      </c>
    </row>
    <row r="44" spans="1:9" ht="44.25" customHeight="1">
      <c r="A44" s="51" t="s">
        <v>147</v>
      </c>
      <c r="B44" s="27">
        <v>62.2</v>
      </c>
      <c r="C44" s="27">
        <v>20.72</v>
      </c>
      <c r="D44" s="27">
        <v>8.59</v>
      </c>
      <c r="E44" s="27">
        <f t="shared" si="0"/>
        <v>13.810289389067524</v>
      </c>
      <c r="F44" s="27"/>
      <c r="G44" s="33">
        <f>'[1]Апрель'!D42</f>
        <v>0</v>
      </c>
      <c r="H44" s="25" t="s">
        <v>148</v>
      </c>
      <c r="I44" s="33">
        <f>D44-март!D44</f>
        <v>0.4900000000000002</v>
      </c>
    </row>
    <row r="45" spans="1:9" ht="51">
      <c r="A45" s="51" t="s">
        <v>120</v>
      </c>
      <c r="B45" s="27">
        <v>1531</v>
      </c>
      <c r="C45" s="27">
        <v>1531</v>
      </c>
      <c r="D45" s="27">
        <v>997.19</v>
      </c>
      <c r="E45" s="27">
        <f t="shared" si="0"/>
        <v>65.13324624428478</v>
      </c>
      <c r="F45" s="27">
        <v>0</v>
      </c>
      <c r="G45" s="33">
        <f>'[1]Апрель'!D43</f>
        <v>105.5</v>
      </c>
      <c r="H45" s="25" t="s">
        <v>148</v>
      </c>
      <c r="I45" s="33">
        <f>D45-март!D45</f>
        <v>-0.009999999999990905</v>
      </c>
    </row>
    <row r="46" spans="1:9" ht="76.5">
      <c r="A46" s="51" t="s">
        <v>121</v>
      </c>
      <c r="B46" s="27">
        <v>3503.77</v>
      </c>
      <c r="C46" s="27">
        <v>1167.92</v>
      </c>
      <c r="D46" s="27">
        <v>857.17</v>
      </c>
      <c r="E46" s="27">
        <f t="shared" si="0"/>
        <v>24.464219968776487</v>
      </c>
      <c r="F46" s="27">
        <v>236.15</v>
      </c>
      <c r="G46" s="33">
        <f>'[1]Апрель'!D44</f>
        <v>864.3</v>
      </c>
      <c r="H46" s="25">
        <f t="shared" si="1"/>
        <v>135.12900613213006</v>
      </c>
      <c r="I46" s="33">
        <f>D46-март!D46</f>
        <v>206.16999999999996</v>
      </c>
    </row>
    <row r="47" spans="1:9" ht="27" customHeight="1">
      <c r="A47" s="54" t="s">
        <v>13</v>
      </c>
      <c r="B47" s="33">
        <v>598.72</v>
      </c>
      <c r="C47" s="33">
        <v>218</v>
      </c>
      <c r="D47" s="33">
        <v>486.34</v>
      </c>
      <c r="E47" s="33">
        <f t="shared" si="0"/>
        <v>81.22995724211651</v>
      </c>
      <c r="F47" s="33">
        <v>43.6</v>
      </c>
      <c r="G47" s="33">
        <f>'[1]Апрель'!D45</f>
        <v>382.5</v>
      </c>
      <c r="H47" s="33">
        <f t="shared" si="1"/>
        <v>56.99346405228758</v>
      </c>
      <c r="I47" s="33">
        <f>D47-март!D47</f>
        <v>123.44</v>
      </c>
    </row>
    <row r="48" spans="1:9" ht="25.5">
      <c r="A48" s="54" t="s">
        <v>96</v>
      </c>
      <c r="B48" s="33">
        <v>1290.36</v>
      </c>
      <c r="C48" s="33">
        <v>257.31</v>
      </c>
      <c r="D48" s="33">
        <v>464</v>
      </c>
      <c r="E48" s="33">
        <f t="shared" si="0"/>
        <v>35.958957190241485</v>
      </c>
      <c r="F48" s="33">
        <v>561.58</v>
      </c>
      <c r="G48" s="33">
        <f>'[1]Апрель'!D46</f>
        <v>432.6</v>
      </c>
      <c r="H48" s="33">
        <f t="shared" si="1"/>
        <v>59.479889042995836</v>
      </c>
      <c r="I48" s="33">
        <f>D48-март!D48</f>
        <v>190.8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1218.74</v>
      </c>
      <c r="E49" s="25">
        <f t="shared" si="0"/>
        <v>3.595103244837758</v>
      </c>
      <c r="F49" s="25">
        <v>585.5</v>
      </c>
      <c r="G49" s="33">
        <f>'[1]Апрель'!D47</f>
        <v>696.6</v>
      </c>
      <c r="H49" s="25">
        <f t="shared" si="1"/>
        <v>0</v>
      </c>
      <c r="I49" s="33">
        <f>D49-март!D49</f>
        <v>79.53999999999996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33">
        <f>'[1]Апрель'!D48</f>
        <v>0</v>
      </c>
      <c r="H50" s="25" t="s">
        <v>148</v>
      </c>
      <c r="I50" s="33">
        <f>D50-март!D50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33">
        <f>'[1]Апрель'!D49</f>
        <v>0</v>
      </c>
      <c r="H51" s="25" t="s">
        <v>148</v>
      </c>
      <c r="I51" s="33">
        <f>D51-март!D51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1218.74</v>
      </c>
      <c r="E52" s="27">
        <f t="shared" si="0"/>
        <v>87.05285714285715</v>
      </c>
      <c r="F52" s="27">
        <v>548.36</v>
      </c>
      <c r="G52" s="33">
        <f>'[1]Апрель'!D50</f>
        <v>696.6</v>
      </c>
      <c r="H52" s="25">
        <f t="shared" si="1"/>
        <v>0</v>
      </c>
      <c r="I52" s="33">
        <f>D52-март!D52</f>
        <v>79.53999999999996</v>
      </c>
    </row>
    <row r="53" spans="1:9" ht="12.75">
      <c r="A53" s="54" t="s">
        <v>15</v>
      </c>
      <c r="B53" s="33">
        <v>-1455.1</v>
      </c>
      <c r="C53" s="33">
        <v>-4026.96</v>
      </c>
      <c r="D53" s="33">
        <v>-3276.93</v>
      </c>
      <c r="E53" s="26">
        <f t="shared" si="0"/>
        <v>225.20307882619753</v>
      </c>
      <c r="F53" s="26">
        <v>179.73</v>
      </c>
      <c r="G53" s="33">
        <f>'[1]Апрель'!D51</f>
        <v>1113.9</v>
      </c>
      <c r="H53" s="25">
        <f t="shared" si="1"/>
        <v>-361.5189873417721</v>
      </c>
      <c r="I53" s="33">
        <f>D53-март!D53</f>
        <v>-4238.53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33">
        <f>'[1]Апрель'!D52</f>
        <v>0</v>
      </c>
      <c r="H54" s="25" t="e">
        <f t="shared" si="1"/>
        <v>#DIV/0!</v>
      </c>
      <c r="I54" s="33">
        <f>D54-март!D54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33">
        <f>'[1]Апрель'!D53</f>
        <v>0</v>
      </c>
      <c r="H55" s="25" t="e">
        <f t="shared" si="1"/>
        <v>#DIV/0!</v>
      </c>
      <c r="I55" s="33">
        <f>D55-март!D55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33">
        <f>'[1]Апрель'!D54</f>
        <v>0</v>
      </c>
      <c r="H56" s="25" t="e">
        <f t="shared" si="1"/>
        <v>#DIV/0!</v>
      </c>
      <c r="I56" s="33">
        <f>D56-март!D56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33">
        <f>'[1]Апрель'!D55</f>
        <v>0</v>
      </c>
      <c r="H57" s="25" t="e">
        <f t="shared" si="1"/>
        <v>#DIV/0!</v>
      </c>
      <c r="I57" s="33">
        <f>D57-март!D57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33">
        <f>'[1]Апрель'!D56</f>
        <v>0</v>
      </c>
      <c r="H58" s="25" t="e">
        <f t="shared" si="1"/>
        <v>#DIV/0!</v>
      </c>
      <c r="I58" s="33">
        <f>D58-март!D58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33">
        <f>'[1]Апрель'!D57</f>
        <v>0</v>
      </c>
      <c r="H59" s="25" t="e">
        <f t="shared" si="1"/>
        <v>#DIV/0!</v>
      </c>
      <c r="I59" s="33">
        <f>D59-март!D59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33">
        <f>'[1]Апрель'!D58</f>
        <v>0</v>
      </c>
      <c r="H60" s="25" t="e">
        <f t="shared" si="1"/>
        <v>#DIV/0!</v>
      </c>
      <c r="I60" s="33">
        <f>D60-март!D60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33">
        <f>'[1]Апрель'!D59</f>
        <v>0</v>
      </c>
      <c r="H61" s="25" t="e">
        <f t="shared" si="1"/>
        <v>#DIV/0!</v>
      </c>
      <c r="I61" s="33">
        <f>D61-март!D61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33">
        <f>'[1]Апрель'!D60</f>
        <v>0</v>
      </c>
      <c r="H62" s="25" t="e">
        <f t="shared" si="1"/>
        <v>#DIV/0!</v>
      </c>
      <c r="I62" s="33">
        <f>D62-март!D62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33">
        <f>'[1]Апрель'!D61</f>
        <v>0</v>
      </c>
      <c r="H63" s="25" t="e">
        <f t="shared" si="1"/>
        <v>#DIV/0!</v>
      </c>
      <c r="I63" s="33">
        <f>D63-март!D63</f>
        <v>0</v>
      </c>
    </row>
    <row r="64" spans="1:9" ht="12.75">
      <c r="A64" s="47" t="s">
        <v>16</v>
      </c>
      <c r="B64" s="33">
        <v>-1089.27</v>
      </c>
      <c r="C64" s="33">
        <v>-1096.63</v>
      </c>
      <c r="D64" s="33">
        <v>-964.29</v>
      </c>
      <c r="E64" s="26">
        <f t="shared" si="0"/>
        <v>88.52626070671184</v>
      </c>
      <c r="F64" s="26">
        <v>-38.79</v>
      </c>
      <c r="G64" s="33">
        <f>'[1]Апрель'!D62</f>
        <v>0</v>
      </c>
      <c r="H64" s="25" t="s">
        <v>148</v>
      </c>
      <c r="I64" s="33">
        <f>D64-март!D64</f>
        <v>131.61000000000013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190506.76</v>
      </c>
      <c r="D65" s="26">
        <f>D64+D53+D49+D48+D47+D38+D30+D27+D22+D17+D8+D37</f>
        <v>203257.98</v>
      </c>
      <c r="E65" s="26">
        <f t="shared" si="0"/>
        <v>28.13733620612217</v>
      </c>
      <c r="F65" s="26">
        <v>27699.089999999997</v>
      </c>
      <c r="G65" s="33">
        <f>'[1]Апрель'!D63</f>
        <v>221241.60000000003</v>
      </c>
      <c r="H65" s="25">
        <f t="shared" si="1"/>
        <v>86.10801946830975</v>
      </c>
      <c r="I65" s="33">
        <f>D65-март!D65</f>
        <v>80183.48000000001</v>
      </c>
    </row>
    <row r="66" spans="1:9" ht="12.75">
      <c r="A66" s="54" t="s">
        <v>18</v>
      </c>
      <c r="B66" s="26">
        <f>B67+B72+B73</f>
        <v>3340777.6100000003</v>
      </c>
      <c r="C66" s="26">
        <f>C67+C72+C73</f>
        <v>1068990.36</v>
      </c>
      <c r="D66" s="26">
        <f>D67+D72+D73</f>
        <v>833414</v>
      </c>
      <c r="E66" s="26">
        <f t="shared" si="0"/>
        <v>24.94670694347715</v>
      </c>
      <c r="F66" s="26">
        <v>43822.57000000001</v>
      </c>
      <c r="G66" s="33">
        <f>'[1]Апрель'!D64</f>
        <v>528832.2999999999</v>
      </c>
      <c r="H66" s="25">
        <f t="shared" si="1"/>
        <v>202.14165435810182</v>
      </c>
      <c r="I66" s="33">
        <f>D66-март!D66</f>
        <v>178781.79999999993</v>
      </c>
    </row>
    <row r="67" spans="1:9" ht="25.5">
      <c r="A67" s="54" t="s">
        <v>19</v>
      </c>
      <c r="B67" s="26">
        <f>SUM(B68:B71)</f>
        <v>3349157.8600000003</v>
      </c>
      <c r="C67" s="26">
        <f>SUM(C68:C71)</f>
        <v>1077370.6</v>
      </c>
      <c r="D67" s="26">
        <f>SUM(D68:D71)</f>
        <v>841794.25</v>
      </c>
      <c r="E67" s="26">
        <f t="shared" si="0"/>
        <v>25.134505006580966</v>
      </c>
      <c r="F67" s="26">
        <v>46091.770000000004</v>
      </c>
      <c r="G67" s="33">
        <f>'[1]Апрель'!D65</f>
        <v>547205.2</v>
      </c>
      <c r="H67" s="25">
        <f t="shared" si="1"/>
        <v>196.8860310537985</v>
      </c>
      <c r="I67" s="33">
        <f>D67-март!D67</f>
        <v>178781.84999999998</v>
      </c>
    </row>
    <row r="68" spans="1:9" ht="12.75">
      <c r="A68" s="51" t="s">
        <v>108</v>
      </c>
      <c r="B68" s="27">
        <v>565077</v>
      </c>
      <c r="C68" s="27">
        <v>240665</v>
      </c>
      <c r="D68" s="27">
        <v>252591.7</v>
      </c>
      <c r="E68" s="25">
        <f t="shared" si="0"/>
        <v>44.70040366180184</v>
      </c>
      <c r="F68" s="25">
        <v>15902.8</v>
      </c>
      <c r="G68" s="33">
        <f>'[1]Апрель'!D66</f>
        <v>136055.8</v>
      </c>
      <c r="H68" s="25">
        <f t="shared" si="1"/>
        <v>176.88698313486086</v>
      </c>
      <c r="I68" s="33">
        <f>D68-март!D68</f>
        <v>35392.70000000001</v>
      </c>
    </row>
    <row r="69" spans="1:9" ht="12.75" customHeight="1">
      <c r="A69" s="51" t="s">
        <v>109</v>
      </c>
      <c r="B69" s="27">
        <v>1457017.22</v>
      </c>
      <c r="C69" s="27">
        <v>453584.12</v>
      </c>
      <c r="D69" s="27">
        <v>213476.61</v>
      </c>
      <c r="E69" s="25">
        <f t="shared" si="0"/>
        <v>14.651618873797522</v>
      </c>
      <c r="F69" s="25">
        <v>0</v>
      </c>
      <c r="G69" s="33">
        <f>'[1]Апрель'!D67</f>
        <v>101936.4</v>
      </c>
      <c r="H69" s="25">
        <f t="shared" si="1"/>
        <v>444.96776421376467</v>
      </c>
      <c r="I69" s="33">
        <f>D69-март!D69</f>
        <v>15116.909999999974</v>
      </c>
    </row>
    <row r="70" spans="1:9" ht="18.75" customHeight="1">
      <c r="A70" s="51" t="s">
        <v>110</v>
      </c>
      <c r="B70" s="27">
        <v>1270180.1</v>
      </c>
      <c r="C70" s="27">
        <v>368193.47000000003</v>
      </c>
      <c r="D70" s="27">
        <v>362127.09</v>
      </c>
      <c r="E70" s="25">
        <f t="shared" si="0"/>
        <v>28.509901076233206</v>
      </c>
      <c r="F70" s="25">
        <v>30188.97</v>
      </c>
      <c r="G70" s="33">
        <f>'[1]Апрель'!D68</f>
        <v>297190</v>
      </c>
      <c r="H70" s="25">
        <f t="shared" si="1"/>
        <v>123.89160806218244</v>
      </c>
      <c r="I70" s="33">
        <f>D70-март!D70</f>
        <v>124372.29000000004</v>
      </c>
    </row>
    <row r="71" spans="1:9" ht="12.75" customHeight="1">
      <c r="A71" s="2" t="s">
        <v>122</v>
      </c>
      <c r="B71" s="27">
        <v>56883.54</v>
      </c>
      <c r="C71" s="27">
        <v>14928.01</v>
      </c>
      <c r="D71" s="27">
        <v>13598.85</v>
      </c>
      <c r="E71" s="25">
        <f t="shared" si="0"/>
        <v>23.9064762847038</v>
      </c>
      <c r="F71" s="25">
        <v>0</v>
      </c>
      <c r="G71" s="33">
        <f>'[1]Апрель'!D69</f>
        <v>12023</v>
      </c>
      <c r="H71" s="25" t="s">
        <v>148</v>
      </c>
      <c r="I71" s="33">
        <f>D71-март!D71</f>
        <v>3899.9500000000007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33">
        <f>'[1]Апрель'!D70</f>
        <v>0</v>
      </c>
      <c r="H72" s="25" t="s">
        <v>148</v>
      </c>
      <c r="I72" s="33">
        <f>D72-март!D72</f>
        <v>0</v>
      </c>
    </row>
    <row r="73" spans="1:9" ht="25.5">
      <c r="A73" s="54" t="s">
        <v>21</v>
      </c>
      <c r="B73" s="27">
        <v>-8380.25</v>
      </c>
      <c r="C73" s="27">
        <v>-8380.239999999998</v>
      </c>
      <c r="D73" s="27">
        <v>-8380.25</v>
      </c>
      <c r="E73" s="26">
        <f t="shared" si="0"/>
        <v>100</v>
      </c>
      <c r="F73" s="26">
        <v>-2269.2</v>
      </c>
      <c r="G73" s="33">
        <f>'[1]Апрель'!D71</f>
        <v>-18372.9</v>
      </c>
      <c r="H73" s="25">
        <f t="shared" si="1"/>
        <v>45.611961094873415</v>
      </c>
      <c r="I73" s="33">
        <f>D73-март!D73</f>
        <v>-0.049999999999272404</v>
      </c>
    </row>
    <row r="74" spans="1:9" ht="12.75">
      <c r="A74" s="47" t="s">
        <v>20</v>
      </c>
      <c r="B74" s="26">
        <f>B65+B66</f>
        <v>4063155.8000000003</v>
      </c>
      <c r="C74" s="26">
        <f>C65+C66</f>
        <v>1259497.12</v>
      </c>
      <c r="D74" s="26">
        <f>D65+D66</f>
        <v>1036671.98</v>
      </c>
      <c r="E74" s="25">
        <f>D74/B74*100</f>
        <v>25.513960847871004</v>
      </c>
      <c r="F74" s="25">
        <v>71521.66</v>
      </c>
      <c r="G74" s="33">
        <f>'[1]Апрель'!D72</f>
        <v>750073.8999999999</v>
      </c>
      <c r="H74" s="25">
        <f>C74/G74*100</f>
        <v>167.91640397032884</v>
      </c>
      <c r="I74" s="33">
        <f>D74-март!D74</f>
        <v>258965.2799999999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15" t="s">
        <v>22</v>
      </c>
      <c r="B79" s="115"/>
      <c r="C79" s="115"/>
      <c r="D79" s="115"/>
      <c r="E79" s="115"/>
      <c r="F79" s="115"/>
      <c r="G79" s="115"/>
      <c r="H79" s="115"/>
      <c r="I79" s="115"/>
    </row>
    <row r="80" spans="1:9" ht="12.75">
      <c r="A80" s="7" t="s">
        <v>23</v>
      </c>
      <c r="B80" s="33">
        <f>B81+B82+B83+B84+B85+B86+B87+B88</f>
        <v>442143.43999999994</v>
      </c>
      <c r="C80" s="33">
        <f>C81+C82+C83+C84+C85+C86+C87+C88</f>
        <v>94874.11</v>
      </c>
      <c r="D80" s="33">
        <f>D81+D82+D83+D84+D85+D86+D87+D88</f>
        <v>94247.26</v>
      </c>
      <c r="E80" s="25">
        <f>$D:$D/$B:$B*100</f>
        <v>21.3159919323919</v>
      </c>
      <c r="F80" s="25">
        <f>$D:$D/$C:$C*100</f>
        <v>99.33928233951285</v>
      </c>
      <c r="G80" s="33">
        <f>'[1]Апрель'!D78</f>
        <v>41910.9</v>
      </c>
      <c r="H80" s="25">
        <f>$D:$D/$G:$G*100</f>
        <v>224.87529497099797</v>
      </c>
      <c r="I80" s="33">
        <f>D80-март!I80</f>
        <v>73289.51000000001</v>
      </c>
    </row>
    <row r="81" spans="1:9" ht="14.25" customHeight="1">
      <c r="A81" s="8" t="s">
        <v>24</v>
      </c>
      <c r="B81" s="27">
        <v>3112.77</v>
      </c>
      <c r="C81" s="27">
        <v>1176.35</v>
      </c>
      <c r="D81" s="27">
        <v>1162.87</v>
      </c>
      <c r="E81" s="28">
        <f>$D:$D/$B:$B*100</f>
        <v>37.35804444273107</v>
      </c>
      <c r="F81" s="28">
        <v>0</v>
      </c>
      <c r="G81" s="33">
        <f>'[1]Апрель'!D79</f>
        <v>684</v>
      </c>
      <c r="H81" s="28">
        <v>0</v>
      </c>
      <c r="I81" s="33">
        <f>D81-март!I81</f>
        <v>581.29</v>
      </c>
    </row>
    <row r="82" spans="1:9" ht="12.75">
      <c r="A82" s="8" t="s">
        <v>25</v>
      </c>
      <c r="B82" s="27">
        <v>7499.62</v>
      </c>
      <c r="C82" s="27">
        <v>2482.62</v>
      </c>
      <c r="D82" s="27">
        <v>2334.91</v>
      </c>
      <c r="E82" s="28">
        <f>$D:$D/$B:$B*100</f>
        <v>31.133710774679248</v>
      </c>
      <c r="F82" s="28">
        <f>$D:$D/$C:$C*100</f>
        <v>94.05023724935752</v>
      </c>
      <c r="G82" s="33">
        <f>'[1]Апрель'!D80</f>
        <v>2007.4</v>
      </c>
      <c r="H82" s="28">
        <f>$D:$D/$G:$G*100</f>
        <v>116.3151340041845</v>
      </c>
      <c r="I82" s="33">
        <f>D82-март!I82</f>
        <v>1398.6799999999998</v>
      </c>
    </row>
    <row r="83" spans="1:9" ht="25.5">
      <c r="A83" s="8" t="s">
        <v>26</v>
      </c>
      <c r="B83" s="27">
        <v>68916.62</v>
      </c>
      <c r="C83" s="27">
        <v>22626.89</v>
      </c>
      <c r="D83" s="27">
        <v>22466.42</v>
      </c>
      <c r="E83" s="28">
        <f>$D:$D/$B:$B*100</f>
        <v>32.59942231641656</v>
      </c>
      <c r="F83" s="28">
        <f>$D:$D/$C:$C*100</f>
        <v>99.29079957519569</v>
      </c>
      <c r="G83" s="33">
        <f>'[1]Апрель'!D81</f>
        <v>18836.4</v>
      </c>
      <c r="H83" s="28">
        <f>$D:$D/$G:$G*100</f>
        <v>119.27130449555115</v>
      </c>
      <c r="I83" s="33">
        <f>D83-март!I83</f>
        <v>13529.92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33">
        <f>'[1]Апрель'!D82</f>
        <v>170</v>
      </c>
      <c r="H84" s="28">
        <v>0</v>
      </c>
      <c r="I84" s="33">
        <f>D84-март!I84</f>
        <v>0.040000000000000036</v>
      </c>
    </row>
    <row r="85" spans="1:9" ht="25.5">
      <c r="A85" s="1" t="s">
        <v>27</v>
      </c>
      <c r="B85" s="27">
        <v>17625.39</v>
      </c>
      <c r="C85" s="27">
        <v>5377.87</v>
      </c>
      <c r="D85" s="27">
        <v>5263.05</v>
      </c>
      <c r="E85" s="28">
        <f>$D:$D/$B:$B*100</f>
        <v>29.860615850202464</v>
      </c>
      <c r="F85" s="28">
        <v>0</v>
      </c>
      <c r="G85" s="33">
        <f>'[1]Апрель'!D83</f>
        <v>4585.8</v>
      </c>
      <c r="H85" s="28">
        <f>$D:$D/$G:$G*100</f>
        <v>114.7684155436347</v>
      </c>
      <c r="I85" s="33">
        <f>D85-март!I85</f>
        <v>3100.3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33">
        <f>'[1]Апрель'!D84</f>
        <v>0</v>
      </c>
      <c r="H86" s="28">
        <v>0</v>
      </c>
      <c r="I86" s="33">
        <f>D86-март!I86</f>
        <v>0</v>
      </c>
    </row>
    <row r="87" spans="1:9" ht="12.75">
      <c r="A87" s="8" t="s">
        <v>29</v>
      </c>
      <c r="B87" s="27">
        <v>22999.38</v>
      </c>
      <c r="C87" s="27">
        <v>0</v>
      </c>
      <c r="D87" s="27">
        <v>0</v>
      </c>
      <c r="E87" s="28">
        <f>$D:$D/$B:$B*100</f>
        <v>0</v>
      </c>
      <c r="F87" s="28">
        <v>0</v>
      </c>
      <c r="G87" s="33">
        <f>'[1]Апрель'!D85</f>
        <v>0</v>
      </c>
      <c r="H87" s="28">
        <v>0</v>
      </c>
      <c r="I87" s="33">
        <f>D87-март!I87</f>
        <v>0</v>
      </c>
    </row>
    <row r="88" spans="1:9" ht="12.75">
      <c r="A88" s="1" t="s">
        <v>30</v>
      </c>
      <c r="B88" s="27">
        <v>321985.66</v>
      </c>
      <c r="C88" s="27">
        <v>63206.54</v>
      </c>
      <c r="D88" s="27">
        <v>63016.17</v>
      </c>
      <c r="E88" s="28">
        <f>$D:$D/$B:$B*100</f>
        <v>19.57111071343985</v>
      </c>
      <c r="F88" s="28">
        <f>$D:$D/$C:$C*100</f>
        <v>99.69881281272475</v>
      </c>
      <c r="G88" s="33">
        <f>'[1]Апрель'!D86</f>
        <v>15627.3</v>
      </c>
      <c r="H88" s="28">
        <f>$D:$D/$G:$G*100</f>
        <v>403.2441304639957</v>
      </c>
      <c r="I88" s="33">
        <f>D88-март!I88</f>
        <v>54679.28</v>
      </c>
    </row>
    <row r="89" spans="1:9" ht="12.75">
      <c r="A89" s="7" t="s">
        <v>31</v>
      </c>
      <c r="B89" s="27">
        <v>527.7</v>
      </c>
      <c r="C89" s="27">
        <v>226.84</v>
      </c>
      <c r="D89" s="27">
        <v>226.84</v>
      </c>
      <c r="E89" s="25">
        <f>$D:$D/$B:$B*100</f>
        <v>42.98654538563578</v>
      </c>
      <c r="F89" s="25">
        <f>$D:$D/$C:$C*100</f>
        <v>100</v>
      </c>
      <c r="G89" s="33">
        <f>'[1]Апрель'!D87</f>
        <v>126.4</v>
      </c>
      <c r="H89" s="25">
        <v>0</v>
      </c>
      <c r="I89" s="33">
        <f>D89-март!I89</f>
        <v>178.47</v>
      </c>
    </row>
    <row r="90" spans="1:9" ht="25.5">
      <c r="A90" s="9" t="s">
        <v>32</v>
      </c>
      <c r="B90" s="27">
        <f>10710.65+647.41</f>
        <v>11358.06</v>
      </c>
      <c r="C90" s="27">
        <v>4579.91</v>
      </c>
      <c r="D90" s="27">
        <v>4415.23</v>
      </c>
      <c r="E90" s="25">
        <f>$D:$D/$B:$B*100</f>
        <v>38.87309980753756</v>
      </c>
      <c r="F90" s="25">
        <f>$D:$D/$C:$C*100</f>
        <v>96.40429615429123</v>
      </c>
      <c r="G90" s="33">
        <f>'[1]Апрель'!D88</f>
        <v>1569.3</v>
      </c>
      <c r="H90" s="25">
        <f>$D:$D/$G:$G*100</f>
        <v>281.3502835659211</v>
      </c>
      <c r="I90" s="33">
        <f>D90-март!I90</f>
        <v>2382.9399999999996</v>
      </c>
    </row>
    <row r="91" spans="1:9" ht="12.75">
      <c r="A91" s="7" t="s">
        <v>33</v>
      </c>
      <c r="B91" s="33">
        <f aca="true" t="shared" si="2" ref="B91:H91">B92+B93+B94+B95</f>
        <v>587326.25</v>
      </c>
      <c r="C91" s="33">
        <f t="shared" si="2"/>
        <v>43579.75</v>
      </c>
      <c r="D91" s="33">
        <f t="shared" si="2"/>
        <v>43579.75</v>
      </c>
      <c r="E91" s="33">
        <f t="shared" si="2"/>
        <v>43.65812416359525</v>
      </c>
      <c r="F91" s="33">
        <f t="shared" si="2"/>
        <v>200</v>
      </c>
      <c r="G91" s="33">
        <f>'[1]Апрель'!D89</f>
        <v>20692.800000000003</v>
      </c>
      <c r="H91" s="33">
        <f t="shared" si="2"/>
        <v>113.97788755586922</v>
      </c>
      <c r="I91" s="33">
        <f>D91-март!I91</f>
        <v>22376.049999999996</v>
      </c>
    </row>
    <row r="92" spans="1:9" ht="12.75" customHeight="1">
      <c r="A92" s="10" t="s">
        <v>67</v>
      </c>
      <c r="B92" s="27">
        <v>13452.34</v>
      </c>
      <c r="C92" s="27">
        <v>16.53</v>
      </c>
      <c r="D92" s="27">
        <v>16.53</v>
      </c>
      <c r="E92" s="28">
        <v>0</v>
      </c>
      <c r="F92" s="28">
        <v>0</v>
      </c>
      <c r="G92" s="33">
        <f>'[1]Апрель'!D90</f>
        <v>0</v>
      </c>
      <c r="H92" s="28">
        <v>0</v>
      </c>
      <c r="I92" s="33">
        <f>D92-март!I92</f>
        <v>16.53</v>
      </c>
    </row>
    <row r="93" spans="1:9" ht="12.75">
      <c r="A93" s="8" t="s">
        <v>34</v>
      </c>
      <c r="B93" s="27">
        <v>29381</v>
      </c>
      <c r="C93" s="27">
        <v>7148.26</v>
      </c>
      <c r="D93" s="27">
        <v>7148.26</v>
      </c>
      <c r="E93" s="28">
        <f>$D:$D/$B:$B*100</f>
        <v>24.32953269119499</v>
      </c>
      <c r="F93" s="28">
        <v>0</v>
      </c>
      <c r="G93" s="33">
        <f>'[1]Апрель'!D92</f>
        <v>6872.5</v>
      </c>
      <c r="H93" s="28">
        <v>0</v>
      </c>
      <c r="I93" s="33">
        <f>D93-март!I93</f>
        <v>4924.34</v>
      </c>
    </row>
    <row r="94" spans="1:9" ht="12.75">
      <c r="A94" s="10" t="s">
        <v>77</v>
      </c>
      <c r="B94" s="27">
        <v>511095.42</v>
      </c>
      <c r="C94" s="27">
        <v>32054.28</v>
      </c>
      <c r="D94" s="27">
        <v>32054.28</v>
      </c>
      <c r="E94" s="28">
        <f>$D:$D/$B:$B*100</f>
        <v>6.271682105858041</v>
      </c>
      <c r="F94" s="28">
        <f>$D:$D/$C:$C*100</f>
        <v>100</v>
      </c>
      <c r="G94" s="33">
        <f>'[1]Апрель'!D93</f>
        <v>9994.4</v>
      </c>
      <c r="H94" s="28">
        <v>0</v>
      </c>
      <c r="I94" s="33">
        <f>D94-март!I94</f>
        <v>15665.539999999997</v>
      </c>
    </row>
    <row r="95" spans="1:9" ht="12.75">
      <c r="A95" s="8" t="s">
        <v>35</v>
      </c>
      <c r="B95" s="27">
        <v>33397.49</v>
      </c>
      <c r="C95" s="27">
        <v>4360.68</v>
      </c>
      <c r="D95" s="27">
        <v>4360.68</v>
      </c>
      <c r="E95" s="28">
        <f>$D:$D/$B:$B*100</f>
        <v>13.056909366542218</v>
      </c>
      <c r="F95" s="28">
        <f>$D:$D/$C:$C*100</f>
        <v>100</v>
      </c>
      <c r="G95" s="33">
        <f>'[1]Апрель'!D94</f>
        <v>3825.9</v>
      </c>
      <c r="H95" s="28">
        <f>$D:$D/$G:$G*100</f>
        <v>113.97788755586922</v>
      </c>
      <c r="I95" s="33">
        <f>D95-март!I95</f>
        <v>1769.6400000000003</v>
      </c>
    </row>
    <row r="96" spans="1:9" ht="12.75">
      <c r="A96" s="7" t="s">
        <v>36</v>
      </c>
      <c r="B96" s="33">
        <f>B98+B99+B100+B97</f>
        <v>471623.07999999996</v>
      </c>
      <c r="C96" s="26">
        <f>C98+C99+C100+C97</f>
        <v>44304.33</v>
      </c>
      <c r="D96" s="33">
        <f>D98+D99+D100+D97</f>
        <v>43574.380000000005</v>
      </c>
      <c r="E96" s="33">
        <f>E99+E100+E97</f>
        <v>18.296652123758722</v>
      </c>
      <c r="F96" s="25">
        <f>$D:$D/$C:$C*100</f>
        <v>98.3524183753597</v>
      </c>
      <c r="G96" s="33">
        <f>'[1]Апрель'!D95</f>
        <v>18527.8</v>
      </c>
      <c r="H96" s="28">
        <f>$D:$D/$G:$G*100</f>
        <v>235.1837778905213</v>
      </c>
      <c r="I96" s="33">
        <f>D96-март!I96</f>
        <v>38372.58</v>
      </c>
    </row>
    <row r="97" spans="1:9" ht="12.75">
      <c r="A97" s="8" t="s">
        <v>37</v>
      </c>
      <c r="B97" s="27">
        <v>64113.88</v>
      </c>
      <c r="C97" s="27">
        <v>5550.02</v>
      </c>
      <c r="D97" s="27">
        <v>5550.02</v>
      </c>
      <c r="E97" s="43">
        <v>0</v>
      </c>
      <c r="F97" s="28">
        <v>0</v>
      </c>
      <c r="G97" s="33">
        <f>'[1]Апрель'!D96</f>
        <v>0</v>
      </c>
      <c r="H97" s="28">
        <v>0</v>
      </c>
      <c r="I97" s="33">
        <f>D97-март!I97</f>
        <v>5550.02</v>
      </c>
    </row>
    <row r="98" spans="1:9" ht="12.75">
      <c r="A98" s="8" t="s">
        <v>38</v>
      </c>
      <c r="B98" s="27">
        <v>4119.67</v>
      </c>
      <c r="C98" s="27">
        <v>0</v>
      </c>
      <c r="D98" s="27">
        <v>0</v>
      </c>
      <c r="E98" s="28">
        <f aca="true" t="shared" si="3" ref="E98:E103">$D:$D/$B:$B*100</f>
        <v>0</v>
      </c>
      <c r="F98" s="28">
        <v>0</v>
      </c>
      <c r="G98" s="33">
        <f>'[1]Апрель'!D97</f>
        <v>63.2</v>
      </c>
      <c r="H98" s="28">
        <v>0</v>
      </c>
      <c r="I98" s="33">
        <f>D98-март!I98</f>
        <v>0</v>
      </c>
    </row>
    <row r="99" spans="1:9" ht="12.75">
      <c r="A99" s="8" t="s">
        <v>39</v>
      </c>
      <c r="B99" s="27">
        <v>296762.04</v>
      </c>
      <c r="C99" s="27">
        <v>28898.37</v>
      </c>
      <c r="D99" s="27">
        <v>28898.37</v>
      </c>
      <c r="E99" s="28">
        <f t="shared" si="3"/>
        <v>9.737893027019224</v>
      </c>
      <c r="F99" s="28">
        <f>$D:$D/$C:$C*100</f>
        <v>100</v>
      </c>
      <c r="G99" s="33">
        <f>'[1]Апрель'!D98</f>
        <v>10115.8</v>
      </c>
      <c r="H99" s="28">
        <v>0</v>
      </c>
      <c r="I99" s="33">
        <f>D99-март!I99</f>
        <v>26491.21</v>
      </c>
    </row>
    <row r="100" spans="1:9" ht="12.75">
      <c r="A100" s="8" t="s">
        <v>40</v>
      </c>
      <c r="B100" s="27">
        <v>106627.49</v>
      </c>
      <c r="C100" s="27">
        <v>9855.94</v>
      </c>
      <c r="D100" s="27">
        <v>9125.99</v>
      </c>
      <c r="E100" s="28">
        <f t="shared" si="3"/>
        <v>8.558759096739498</v>
      </c>
      <c r="F100" s="28">
        <f>$D:$D/$C:$C*100</f>
        <v>92.59380637463296</v>
      </c>
      <c r="G100" s="33">
        <f>'[1]Апрель'!D99</f>
        <v>8348.8</v>
      </c>
      <c r="H100" s="28">
        <f>$D:$D/$G:$G*100</f>
        <v>109.309002491376</v>
      </c>
      <c r="I100" s="33">
        <f>D100-март!I100</f>
        <v>6331.349999999999</v>
      </c>
    </row>
    <row r="101" spans="1:9" ht="12.75">
      <c r="A101" s="11" t="s">
        <v>115</v>
      </c>
      <c r="B101" s="33">
        <f>B102+B103</f>
        <v>14079.48</v>
      </c>
      <c r="C101" s="33">
        <f>C102+C103</f>
        <v>992</v>
      </c>
      <c r="D101" s="33">
        <f>D102+D103</f>
        <v>992</v>
      </c>
      <c r="E101" s="25">
        <f t="shared" si="3"/>
        <v>7.045714756510894</v>
      </c>
      <c r="F101" s="25"/>
      <c r="G101" s="33">
        <f>'[1]Апрель'!D100</f>
        <v>308.1</v>
      </c>
      <c r="H101" s="25">
        <f>$D:$D/$G:$G*100</f>
        <v>321.9733852645245</v>
      </c>
      <c r="I101" s="33">
        <f>D101-март!I101</f>
        <v>642.6600000000001</v>
      </c>
    </row>
    <row r="102" spans="1:9" ht="25.5">
      <c r="A102" s="39" t="s">
        <v>166</v>
      </c>
      <c r="B102" s="27">
        <v>2094.04</v>
      </c>
      <c r="C102" s="27">
        <v>992</v>
      </c>
      <c r="D102" s="27">
        <v>992</v>
      </c>
      <c r="E102" s="28">
        <f t="shared" si="3"/>
        <v>47.37254302687628</v>
      </c>
      <c r="F102" s="28"/>
      <c r="G102" s="33">
        <f>'[1]Апрель'!D101</f>
        <v>308.1</v>
      </c>
      <c r="H102" s="28">
        <v>0</v>
      </c>
      <c r="I102" s="33">
        <f>D102-март!I102</f>
        <v>642.6600000000001</v>
      </c>
    </row>
    <row r="103" spans="1:9" ht="25.5">
      <c r="A103" s="39" t="s">
        <v>165</v>
      </c>
      <c r="B103" s="27">
        <v>11985.44</v>
      </c>
      <c r="C103" s="27">
        <v>0</v>
      </c>
      <c r="D103" s="27">
        <v>0</v>
      </c>
      <c r="E103" s="28">
        <f t="shared" si="3"/>
        <v>0</v>
      </c>
      <c r="F103" s="28"/>
      <c r="G103" s="33">
        <f>'[1]Апрель'!D102</f>
        <v>446811.4</v>
      </c>
      <c r="H103" s="28">
        <v>0</v>
      </c>
      <c r="I103" s="33">
        <f>D103-март!I103</f>
        <v>0</v>
      </c>
    </row>
    <row r="104" spans="1:9" ht="12.75">
      <c r="A104" s="11" t="s">
        <v>41</v>
      </c>
      <c r="B104" s="33">
        <f>B105+B106+B108+B109+B110+B107</f>
        <v>1871474.49</v>
      </c>
      <c r="C104" s="33">
        <f>C105+C106+C108+C109+C110+C107</f>
        <v>540141.4600000001</v>
      </c>
      <c r="D104" s="33">
        <f>D105+D106+D108+D109+D110+D107</f>
        <v>539987.3600000001</v>
      </c>
      <c r="E104" s="33">
        <f>E105+E106+E109+E110+E108</f>
        <v>119.50098688048864</v>
      </c>
      <c r="F104" s="33">
        <f>F105+F106+F109+F110+F108</f>
        <v>499.8496508566677</v>
      </c>
      <c r="G104" s="33">
        <f>'[1]Апрель'!D103</f>
        <v>176107.5</v>
      </c>
      <c r="H104" s="33">
        <f>H105+H106+H109+H110+H108</f>
        <v>818.4319016736426</v>
      </c>
      <c r="I104" s="33">
        <f>D104-март!I104</f>
        <v>381512.8500000001</v>
      </c>
    </row>
    <row r="105" spans="1:9" ht="12.75">
      <c r="A105" s="8" t="s">
        <v>42</v>
      </c>
      <c r="B105" s="27">
        <v>727750.38</v>
      </c>
      <c r="C105" s="27">
        <v>216105.74</v>
      </c>
      <c r="D105" s="27">
        <v>216105.73</v>
      </c>
      <c r="E105" s="28">
        <f aca="true" t="shared" si="4" ref="E105:E115">$D:$D/$B:$B*100</f>
        <v>29.695034992630305</v>
      </c>
      <c r="F105" s="28">
        <f aca="true" t="shared" si="5" ref="F105:F113">$D:$D/$C:$C*100</f>
        <v>99.99999537263564</v>
      </c>
      <c r="G105" s="33">
        <f>'[1]Апрель'!D104</f>
        <v>173333.1</v>
      </c>
      <c r="H105" s="28">
        <f>$D:$D/$G:$G*100</f>
        <v>124.67655052612572</v>
      </c>
      <c r="I105" s="33">
        <f>D105-март!I105</f>
        <v>152689.46000000002</v>
      </c>
    </row>
    <row r="106" spans="1:9" ht="12.75">
      <c r="A106" s="8" t="s">
        <v>43</v>
      </c>
      <c r="B106" s="27">
        <v>752325.38</v>
      </c>
      <c r="C106" s="27">
        <v>220850.64</v>
      </c>
      <c r="D106" s="27">
        <v>220770.67</v>
      </c>
      <c r="E106" s="28">
        <f t="shared" si="4"/>
        <v>29.345104640760628</v>
      </c>
      <c r="F106" s="28">
        <f t="shared" si="5"/>
        <v>99.9637900075816</v>
      </c>
      <c r="G106" s="33">
        <f>'[1]Апрель'!D105</f>
        <v>40195.7</v>
      </c>
      <c r="H106" s="28">
        <f>$D:$D/$G:$G*100</f>
        <v>549.2395206452433</v>
      </c>
      <c r="I106" s="33">
        <f>D106-март!I106</f>
        <v>155566.94</v>
      </c>
    </row>
    <row r="107" spans="1:9" ht="12.75">
      <c r="A107" s="90" t="s">
        <v>105</v>
      </c>
      <c r="B107" s="27">
        <v>145924.77</v>
      </c>
      <c r="C107" s="27">
        <v>40662.49</v>
      </c>
      <c r="D107" s="27">
        <v>40654.12</v>
      </c>
      <c r="E107" s="28">
        <f t="shared" si="4"/>
        <v>27.859643020167173</v>
      </c>
      <c r="F107" s="28">
        <f t="shared" si="5"/>
        <v>99.97941591870051</v>
      </c>
      <c r="G107" s="33">
        <f>'[1]Апрель'!D106</f>
        <v>131.7</v>
      </c>
      <c r="H107" s="28">
        <f>$D:$D/$G:$G*100</f>
        <v>30868.73196659074</v>
      </c>
      <c r="I107" s="33">
        <f>D107-март!I107</f>
        <v>28237.640000000003</v>
      </c>
    </row>
    <row r="108" spans="1:9" ht="25.5">
      <c r="A108" s="8" t="s">
        <v>123</v>
      </c>
      <c r="B108" s="27">
        <v>374.76</v>
      </c>
      <c r="C108" s="27">
        <v>51.2</v>
      </c>
      <c r="D108" s="27">
        <v>51.2</v>
      </c>
      <c r="E108" s="28">
        <f t="shared" si="4"/>
        <v>13.662077062653433</v>
      </c>
      <c r="F108" s="28">
        <f t="shared" si="5"/>
        <v>100</v>
      </c>
      <c r="G108" s="33">
        <f>'[1]Апрель'!D107</f>
        <v>8065</v>
      </c>
      <c r="H108" s="28">
        <v>0</v>
      </c>
      <c r="I108" s="33">
        <f>D108-март!I108</f>
        <v>29.7</v>
      </c>
    </row>
    <row r="109" spans="1:9" ht="12.75">
      <c r="A109" s="8" t="s">
        <v>44</v>
      </c>
      <c r="B109" s="27">
        <v>23325.22</v>
      </c>
      <c r="C109" s="27">
        <v>4863.93</v>
      </c>
      <c r="D109" s="27">
        <v>4863.93</v>
      </c>
      <c r="E109" s="28">
        <f t="shared" si="4"/>
        <v>20.85266505524921</v>
      </c>
      <c r="F109" s="28">
        <f t="shared" si="5"/>
        <v>100</v>
      </c>
      <c r="G109" s="33">
        <f>'[1]Апрель'!D108</f>
        <v>48978.4</v>
      </c>
      <c r="H109" s="28">
        <f>$D:$D/$G:$G*100</f>
        <v>9.9307653986247</v>
      </c>
      <c r="I109" s="33">
        <f>D109-март!I109</f>
        <v>3417.9400000000005</v>
      </c>
    </row>
    <row r="110" spans="1:9" ht="12.75">
      <c r="A110" s="8" t="s">
        <v>45</v>
      </c>
      <c r="B110" s="27">
        <v>221773.98</v>
      </c>
      <c r="C110" s="27">
        <v>57607.46</v>
      </c>
      <c r="D110" s="27">
        <v>57541.71</v>
      </c>
      <c r="E110" s="28">
        <f t="shared" si="4"/>
        <v>25.946105129195047</v>
      </c>
      <c r="F110" s="28">
        <f t="shared" si="5"/>
        <v>99.88586547645045</v>
      </c>
      <c r="G110" s="33">
        <f>'[1]Апрель'!D109</f>
        <v>42754.899999999994</v>
      </c>
      <c r="H110" s="28">
        <f>$D:$D/$G:$G*100</f>
        <v>134.58506510364896</v>
      </c>
      <c r="I110" s="33">
        <f>D110-март!I110</f>
        <v>41571.17</v>
      </c>
    </row>
    <row r="111" spans="1:9" ht="25.5">
      <c r="A111" s="11" t="s">
        <v>46</v>
      </c>
      <c r="B111" s="33">
        <f>B112+B113</f>
        <v>308937.44</v>
      </c>
      <c r="C111" s="33">
        <f>C112+C113</f>
        <v>76536.95</v>
      </c>
      <c r="D111" s="33">
        <f>D112+D113</f>
        <v>76534.74</v>
      </c>
      <c r="E111" s="25">
        <f t="shared" si="4"/>
        <v>24.773539911510888</v>
      </c>
      <c r="F111" s="25">
        <f t="shared" si="5"/>
        <v>99.9971125057897</v>
      </c>
      <c r="G111" s="33">
        <f>'[1]Апрель'!D110</f>
        <v>41930.2</v>
      </c>
      <c r="H111" s="25">
        <f>$D:$D/$G:$G*100</f>
        <v>182.52891710509374</v>
      </c>
      <c r="I111" s="33">
        <f>D111-март!I111</f>
        <v>43588.88000000001</v>
      </c>
    </row>
    <row r="112" spans="1:9" ht="12.75">
      <c r="A112" s="8" t="s">
        <v>47</v>
      </c>
      <c r="B112" s="27">
        <v>219701.1</v>
      </c>
      <c r="C112" s="27">
        <v>58031.09</v>
      </c>
      <c r="D112" s="27">
        <v>58031.08</v>
      </c>
      <c r="E112" s="28">
        <f t="shared" si="4"/>
        <v>26.413650181997266</v>
      </c>
      <c r="F112" s="28">
        <f t="shared" si="5"/>
        <v>99.99998276785772</v>
      </c>
      <c r="G112" s="33">
        <f>'[1]Апрель'!D111</f>
        <v>824.7</v>
      </c>
      <c r="H112" s="28">
        <f>$D:$D/$G:$G*100</f>
        <v>7036.629077240208</v>
      </c>
      <c r="I112" s="33">
        <f>D112-март!I112</f>
        <v>38401.090000000004</v>
      </c>
    </row>
    <row r="113" spans="1:9" ht="25.5">
      <c r="A113" s="8" t="s">
        <v>48</v>
      </c>
      <c r="B113" s="27">
        <v>89236.34</v>
      </c>
      <c r="C113" s="27">
        <v>18505.86</v>
      </c>
      <c r="D113" s="27">
        <v>18503.66</v>
      </c>
      <c r="E113" s="28">
        <f t="shared" si="4"/>
        <v>20.735565802003983</v>
      </c>
      <c r="F113" s="28">
        <f t="shared" si="5"/>
        <v>99.98811187375242</v>
      </c>
      <c r="G113" s="33">
        <f>'[1]Апрель'!D112</f>
        <v>0</v>
      </c>
      <c r="H113" s="28">
        <v>0</v>
      </c>
      <c r="I113" s="33">
        <f>D113-март!I113</f>
        <v>5187.790000000001</v>
      </c>
    </row>
    <row r="114" spans="1:9" ht="12.75">
      <c r="A114" s="11" t="s">
        <v>97</v>
      </c>
      <c r="B114" s="33">
        <f>B115</f>
        <v>163.45</v>
      </c>
      <c r="C114" s="33">
        <f>C115</f>
        <v>0</v>
      </c>
      <c r="D114" s="33">
        <f>D115</f>
        <v>0</v>
      </c>
      <c r="E114" s="25">
        <f t="shared" si="4"/>
        <v>0</v>
      </c>
      <c r="F114" s="25">
        <v>0</v>
      </c>
      <c r="G114" s="33">
        <f>'[1]Апрель'!D113</f>
        <v>0</v>
      </c>
      <c r="H114" s="25">
        <v>0</v>
      </c>
      <c r="I114" s="33">
        <f>D114-март!I114</f>
        <v>0</v>
      </c>
    </row>
    <row r="115" spans="1:9" ht="12.75">
      <c r="A115" s="8" t="s">
        <v>98</v>
      </c>
      <c r="B115" s="27">
        <v>163.45</v>
      </c>
      <c r="C115" s="27">
        <v>0</v>
      </c>
      <c r="D115" s="27">
        <v>0</v>
      </c>
      <c r="E115" s="28">
        <f t="shared" si="4"/>
        <v>0</v>
      </c>
      <c r="F115" s="28">
        <v>0</v>
      </c>
      <c r="G115" s="33">
        <f>'[1]Апрель'!D114</f>
        <v>29512</v>
      </c>
      <c r="H115" s="28">
        <v>0</v>
      </c>
      <c r="I115" s="33">
        <f>D115-март!I115</f>
        <v>0</v>
      </c>
    </row>
    <row r="116" spans="1:9" ht="12.75">
      <c r="A116" s="11" t="s">
        <v>49</v>
      </c>
      <c r="B116" s="33">
        <f>B117+B118+B119+B120</f>
        <v>169827.63</v>
      </c>
      <c r="C116" s="33">
        <f>C117+C118+C119+C120</f>
        <v>37470.33</v>
      </c>
      <c r="D116" s="33">
        <f>D117+D118+D119+D120</f>
        <v>37416.439999999995</v>
      </c>
      <c r="E116" s="33">
        <f>E117+E118+E119+E120</f>
        <v>81.5481013253005</v>
      </c>
      <c r="F116" s="33">
        <f>F117+F118+F119+F120</f>
        <v>192.99340451332407</v>
      </c>
      <c r="G116" s="33">
        <f>'[1]Апрель'!D115</f>
        <v>647.2</v>
      </c>
      <c r="H116" s="25">
        <v>0</v>
      </c>
      <c r="I116" s="33">
        <f>D116-март!I116</f>
        <v>19093.83999999999</v>
      </c>
    </row>
    <row r="117" spans="1:9" ht="12.75">
      <c r="A117" s="8" t="s">
        <v>50</v>
      </c>
      <c r="B117" s="27">
        <v>3025.38</v>
      </c>
      <c r="C117" s="27">
        <v>565.92</v>
      </c>
      <c r="D117" s="27">
        <v>565.93</v>
      </c>
      <c r="E117" s="28">
        <f aca="true" t="shared" si="6" ref="E117:E122">$D:$D/$B:$B*100</f>
        <v>18.706079897401313</v>
      </c>
      <c r="F117" s="28">
        <v>0</v>
      </c>
      <c r="G117" s="33">
        <f>'[1]Апрель'!D116</f>
        <v>0</v>
      </c>
      <c r="H117" s="28">
        <v>0</v>
      </c>
      <c r="I117" s="33">
        <f>D117-март!I117</f>
        <v>377.2699999999999</v>
      </c>
    </row>
    <row r="118" spans="1:9" ht="12.75">
      <c r="A118" s="8" t="s">
        <v>52</v>
      </c>
      <c r="B118" s="27">
        <v>106234.55</v>
      </c>
      <c r="C118" s="27">
        <v>31246.89</v>
      </c>
      <c r="D118" s="27">
        <v>31246.89</v>
      </c>
      <c r="E118" s="28">
        <f t="shared" si="6"/>
        <v>29.413114659967025</v>
      </c>
      <c r="F118" s="28">
        <f>$D:$D/$C:$C*100</f>
        <v>100</v>
      </c>
      <c r="G118" s="33">
        <f>'[1]Апрель'!D117</f>
        <v>25168.8</v>
      </c>
      <c r="H118" s="28">
        <v>0</v>
      </c>
      <c r="I118" s="33">
        <f>D118-март!I118</f>
        <v>15632.989999999998</v>
      </c>
    </row>
    <row r="119" spans="1:9" ht="12.75">
      <c r="A119" s="8" t="s">
        <v>53</v>
      </c>
      <c r="B119" s="27">
        <v>58037.9</v>
      </c>
      <c r="C119" s="27">
        <v>4981.3</v>
      </c>
      <c r="D119" s="27">
        <v>4974.78</v>
      </c>
      <c r="E119" s="28">
        <f t="shared" si="6"/>
        <v>8.57160579552327</v>
      </c>
      <c r="F119" s="28">
        <v>0</v>
      </c>
      <c r="G119" s="33">
        <f>'[1]Апрель'!D118</f>
        <v>3103.5</v>
      </c>
      <c r="H119" s="28">
        <v>0</v>
      </c>
      <c r="I119" s="33">
        <f>D119-март!I119</f>
        <v>2713.74</v>
      </c>
    </row>
    <row r="120" spans="1:9" ht="12.75">
      <c r="A120" s="8" t="s">
        <v>54</v>
      </c>
      <c r="B120" s="27">
        <v>2529.8</v>
      </c>
      <c r="C120" s="27">
        <v>676.22</v>
      </c>
      <c r="D120" s="27">
        <v>628.84</v>
      </c>
      <c r="E120" s="28">
        <f t="shared" si="6"/>
        <v>24.857300972408886</v>
      </c>
      <c r="F120" s="28">
        <f>$D:$D/$C:$C*100</f>
        <v>92.99340451332407</v>
      </c>
      <c r="G120" s="33">
        <f>'[1]Апрель'!D119</f>
        <v>592.5</v>
      </c>
      <c r="H120" s="28">
        <f>$D:$D/$G:$G*100</f>
        <v>106.13333333333334</v>
      </c>
      <c r="I120" s="33">
        <f>D120-март!I120</f>
        <v>369.84000000000003</v>
      </c>
    </row>
    <row r="121" spans="1:9" ht="12.75">
      <c r="A121" s="11" t="s">
        <v>61</v>
      </c>
      <c r="B121" s="27">
        <f>B122+B123+B124</f>
        <v>356599.47000000003</v>
      </c>
      <c r="C121" s="27">
        <f>C122+C123+C124</f>
        <v>60779.86000000001</v>
      </c>
      <c r="D121" s="27">
        <f>D122+D123+D124</f>
        <v>60766.99</v>
      </c>
      <c r="E121" s="25">
        <f t="shared" si="6"/>
        <v>17.040684328554946</v>
      </c>
      <c r="F121" s="25">
        <f>$D:$D/$C:$C*100</f>
        <v>99.97882522269711</v>
      </c>
      <c r="G121" s="33">
        <f>'[1]Апрель'!D120</f>
        <v>85432.3</v>
      </c>
      <c r="H121" s="25">
        <f>$D:$D/$G:$G*100</f>
        <v>71.12882364164373</v>
      </c>
      <c r="I121" s="33">
        <f>D121-март!I121</f>
        <v>34641.829999999994</v>
      </c>
    </row>
    <row r="122" spans="1:9" ht="12.75">
      <c r="A122" s="92" t="s">
        <v>63</v>
      </c>
      <c r="B122" s="27">
        <v>295719.28</v>
      </c>
      <c r="C122" s="27">
        <v>42852.68</v>
      </c>
      <c r="D122" s="27">
        <v>42852.67</v>
      </c>
      <c r="E122" s="28">
        <f t="shared" si="6"/>
        <v>14.490996325975091</v>
      </c>
      <c r="F122" s="28">
        <f>$D:$D/$C:$C*100</f>
        <v>99.99997666423664</v>
      </c>
      <c r="G122" s="33">
        <f>'[1]Апрель'!D121</f>
        <v>23255.2</v>
      </c>
      <c r="H122" s="28">
        <v>0</v>
      </c>
      <c r="I122" s="33">
        <f>D122-март!I122</f>
        <v>21718.539999999997</v>
      </c>
    </row>
    <row r="123" spans="1:9" ht="24.75" customHeight="1">
      <c r="A123" s="92" t="s">
        <v>154</v>
      </c>
      <c r="B123" s="27">
        <v>55828.52</v>
      </c>
      <c r="C123" s="27">
        <v>16438.31</v>
      </c>
      <c r="D123" s="27">
        <v>16438.32</v>
      </c>
      <c r="E123" s="28">
        <v>0</v>
      </c>
      <c r="F123" s="28">
        <v>0</v>
      </c>
      <c r="G123" s="33">
        <f>'[1]Апрель'!D122</f>
        <v>60808.9</v>
      </c>
      <c r="H123" s="28">
        <v>0</v>
      </c>
      <c r="I123" s="33">
        <f>D123-март!I123</f>
        <v>11989.080000000002</v>
      </c>
    </row>
    <row r="124" spans="1:9" ht="25.5">
      <c r="A124" s="12" t="s">
        <v>73</v>
      </c>
      <c r="B124" s="27">
        <v>5051.67</v>
      </c>
      <c r="C124" s="27">
        <v>1488.87</v>
      </c>
      <c r="D124" s="27">
        <v>1476</v>
      </c>
      <c r="E124" s="28">
        <f>$D:$D/$B:$B*100</f>
        <v>29.218060562150733</v>
      </c>
      <c r="F124" s="28">
        <f>$D:$D/$C:$C*100</f>
        <v>99.13558604847972</v>
      </c>
      <c r="G124" s="33">
        <f>'[1]Апрель'!D123</f>
        <v>1368.2</v>
      </c>
      <c r="H124" s="28">
        <v>0</v>
      </c>
      <c r="I124" s="33">
        <f>D124-март!I124</f>
        <v>934.21</v>
      </c>
    </row>
    <row r="125" spans="1:9" ht="26.25" customHeight="1">
      <c r="A125" s="13" t="s">
        <v>80</v>
      </c>
      <c r="B125" s="27">
        <v>100</v>
      </c>
      <c r="C125" s="27">
        <v>5.75</v>
      </c>
      <c r="D125" s="27">
        <v>5.75</v>
      </c>
      <c r="E125" s="28">
        <f>$D:$D/$B:$B*100</f>
        <v>5.75</v>
      </c>
      <c r="F125" s="28">
        <v>0</v>
      </c>
      <c r="G125" s="33">
        <f>'[1]Апрель'!D124</f>
        <v>2.01384</v>
      </c>
      <c r="H125" s="28">
        <v>0</v>
      </c>
      <c r="I125" s="33">
        <f>D125-март!I125</f>
        <v>5.75</v>
      </c>
    </row>
    <row r="126" spans="1:9" ht="13.5" customHeight="1">
      <c r="A126" s="12" t="s">
        <v>81</v>
      </c>
      <c r="B126" s="27">
        <v>100</v>
      </c>
      <c r="C126" s="27">
        <v>5.75</v>
      </c>
      <c r="D126" s="27">
        <v>5.75</v>
      </c>
      <c r="E126" s="28">
        <f>$D:$D/$B:$B*100</f>
        <v>5.75</v>
      </c>
      <c r="F126" s="28">
        <v>0</v>
      </c>
      <c r="G126" s="33">
        <f>'[1]Апрель'!D125</f>
        <v>2.01384</v>
      </c>
      <c r="H126" s="28">
        <v>0</v>
      </c>
      <c r="I126" s="33">
        <f>D126-март!I126</f>
        <v>5.75</v>
      </c>
    </row>
    <row r="127" spans="1:9" ht="15.75" customHeight="1">
      <c r="A127" s="14" t="s">
        <v>55</v>
      </c>
      <c r="B127" s="33">
        <f>B80+B89+B90+B91+B96+B104+B111+B114+B116+B121+B125+B101</f>
        <v>4234160.49</v>
      </c>
      <c r="C127" s="33">
        <f>C80+C89+C90+C91+C96+C104+C111+C114+C116+C121+C125+C101</f>
        <v>903491.29</v>
      </c>
      <c r="D127" s="33">
        <f>D80+D89+D90+D91+D96+D104+D111+D114+D116+D121+D125+D101</f>
        <v>901746.74</v>
      </c>
      <c r="E127" s="25">
        <f>$D:$D/$B:$B*100</f>
        <v>21.296942856315773</v>
      </c>
      <c r="F127" s="25">
        <f>$D:$D/$C:$C*100</f>
        <v>99.80691014741271</v>
      </c>
      <c r="G127" s="33">
        <f>'[1]Апрель'!D126</f>
        <v>687647.9138400002</v>
      </c>
      <c r="H127" s="25">
        <f>$D:$D/$G:$G*100</f>
        <v>131.13494883804967</v>
      </c>
      <c r="I127" s="33">
        <f>D127-март!I127</f>
        <v>616085.36</v>
      </c>
    </row>
    <row r="128" spans="1:9" ht="26.25" customHeight="1">
      <c r="A128" s="79" t="s">
        <v>56</v>
      </c>
      <c r="B128" s="80">
        <f>B74-B127</f>
        <v>-171004.68999999994</v>
      </c>
      <c r="C128" s="80">
        <f>C74-C127</f>
        <v>356005.8300000001</v>
      </c>
      <c r="D128" s="80">
        <f>D74-D127</f>
        <v>134925.24</v>
      </c>
      <c r="E128" s="80"/>
      <c r="F128" s="80"/>
      <c r="G128" s="33">
        <f>'[1]Апрель'!D127</f>
        <v>62425.98615999974</v>
      </c>
      <c r="H128" s="80"/>
      <c r="I128" s="33">
        <f>D128-март!I128</f>
        <v>10489.569999999949</v>
      </c>
    </row>
    <row r="129" spans="1:9" ht="24" customHeight="1">
      <c r="A129" s="1" t="s">
        <v>57</v>
      </c>
      <c r="B129" s="27" t="s">
        <v>159</v>
      </c>
      <c r="C129" s="27"/>
      <c r="D129" s="27" t="s">
        <v>171</v>
      </c>
      <c r="E129" s="27"/>
      <c r="F129" s="27"/>
      <c r="G129" s="27" t="s">
        <v>172</v>
      </c>
      <c r="H129" s="26"/>
      <c r="I129" s="33"/>
    </row>
    <row r="130" spans="1:9" ht="12.75">
      <c r="A130" s="3" t="s">
        <v>58</v>
      </c>
      <c r="B130" s="77">
        <f>B132+B133</f>
        <v>99223.6</v>
      </c>
      <c r="C130" s="77">
        <f aca="true" t="shared" si="7" ref="C130:H130">C132+C133</f>
        <v>0</v>
      </c>
      <c r="D130" s="77">
        <f>D132+D133</f>
        <v>217485.54</v>
      </c>
      <c r="E130" s="77">
        <f t="shared" si="7"/>
        <v>0</v>
      </c>
      <c r="F130" s="77">
        <f t="shared" si="7"/>
        <v>0</v>
      </c>
      <c r="G130" s="33">
        <f>'[1]Апрель'!D129</f>
        <v>93247.5</v>
      </c>
      <c r="H130" s="77">
        <f t="shared" si="7"/>
        <v>0</v>
      </c>
      <c r="I130" s="33">
        <f>D130-март!I130</f>
        <v>92049.94</v>
      </c>
    </row>
    <row r="131" spans="1:9" ht="12" customHeight="1">
      <c r="A131" s="1" t="s">
        <v>6</v>
      </c>
      <c r="B131" s="78"/>
      <c r="C131" s="27"/>
      <c r="D131" s="27" t="s">
        <v>148</v>
      </c>
      <c r="E131" s="27"/>
      <c r="F131" s="27"/>
      <c r="G131" s="33">
        <f>'[1]Апрель'!D130</f>
        <v>0</v>
      </c>
      <c r="H131" s="35"/>
      <c r="I131" s="33"/>
    </row>
    <row r="132" spans="1:9" ht="12.75">
      <c r="A132" s="5" t="s">
        <v>59</v>
      </c>
      <c r="B132" s="78">
        <v>53815.7</v>
      </c>
      <c r="C132" s="27"/>
      <c r="D132" s="27">
        <v>122377.72</v>
      </c>
      <c r="E132" s="27"/>
      <c r="F132" s="27"/>
      <c r="G132" s="33">
        <f>'[1]Апрель'!D131</f>
        <v>60071.5</v>
      </c>
      <c r="H132" s="35"/>
      <c r="I132" s="33">
        <f>D132-март!I132</f>
        <v>23423.42</v>
      </c>
    </row>
    <row r="133" spans="1:9" ht="12.75">
      <c r="A133" s="1" t="s">
        <v>60</v>
      </c>
      <c r="B133" s="78">
        <f>99223.6-B132</f>
        <v>45407.90000000001</v>
      </c>
      <c r="C133" s="27"/>
      <c r="D133" s="27">
        <v>95107.82</v>
      </c>
      <c r="E133" s="27"/>
      <c r="F133" s="27"/>
      <c r="G133" s="33">
        <f>'[1]Апрель'!D132</f>
        <v>33176</v>
      </c>
      <c r="H133" s="35"/>
      <c r="I133" s="33">
        <f>D133-март!I133</f>
        <v>68626.52</v>
      </c>
    </row>
    <row r="134" spans="1:9" ht="12.75">
      <c r="A134" s="3" t="s">
        <v>99</v>
      </c>
      <c r="B134" s="26">
        <f>B135-B136</f>
        <v>22950</v>
      </c>
      <c r="C134" s="26">
        <f aca="true" t="shared" si="8" ref="C134:H134">C135-C136</f>
        <v>-35000</v>
      </c>
      <c r="D134" s="26">
        <f t="shared" si="8"/>
        <v>-35000</v>
      </c>
      <c r="E134" s="26">
        <f t="shared" si="8"/>
        <v>0</v>
      </c>
      <c r="F134" s="26">
        <f t="shared" si="8"/>
        <v>0</v>
      </c>
      <c r="G134" s="33">
        <f>'[1]Апрель'!D133</f>
        <v>-12050</v>
      </c>
      <c r="H134" s="26">
        <f t="shared" si="8"/>
        <v>0</v>
      </c>
      <c r="I134" s="33">
        <f>D134-март!I134</f>
        <v>-35000</v>
      </c>
    </row>
    <row r="135" spans="1:9" ht="12.75">
      <c r="A135" s="2" t="s">
        <v>100</v>
      </c>
      <c r="B135" s="27">
        <v>35000</v>
      </c>
      <c r="C135" s="27">
        <v>0</v>
      </c>
      <c r="D135" s="27">
        <v>0</v>
      </c>
      <c r="E135" s="36"/>
      <c r="F135" s="36"/>
      <c r="G135" s="33" t="str">
        <f>'[1]Апрель'!D134</f>
        <v>-</v>
      </c>
      <c r="H135" s="37"/>
      <c r="I135" s="33">
        <f>D135-март!I135</f>
        <v>0</v>
      </c>
    </row>
    <row r="136" spans="1:9" ht="12.75">
      <c r="A136" s="2" t="s">
        <v>101</v>
      </c>
      <c r="B136" s="27">
        <v>12050</v>
      </c>
      <c r="C136" s="27">
        <v>35000</v>
      </c>
      <c r="D136" s="27">
        <v>35000</v>
      </c>
      <c r="E136" s="36"/>
      <c r="F136" s="36"/>
      <c r="G136" s="33">
        <f>'[1]Апрель'!D135</f>
        <v>12050</v>
      </c>
      <c r="H136" s="37"/>
      <c r="I136" s="33">
        <f>D136-март!I136</f>
        <v>35000</v>
      </c>
    </row>
    <row r="137" spans="1:9" ht="12.75">
      <c r="A137" s="15"/>
      <c r="B137" s="24"/>
      <c r="C137" s="24"/>
      <c r="D137" s="24"/>
      <c r="E137" s="24"/>
      <c r="F137" s="24"/>
      <c r="G137" s="84"/>
      <c r="H137" s="24"/>
      <c r="I137" s="24"/>
    </row>
    <row r="139" ht="12" customHeight="1">
      <c r="A139" s="21" t="s">
        <v>79</v>
      </c>
    </row>
    <row r="140" ht="12.75" customHeight="1" hidden="1"/>
    <row r="142" spans="1:9" ht="25.5">
      <c r="A142" s="15" t="s">
        <v>103</v>
      </c>
      <c r="B142" s="24"/>
      <c r="C142" s="24"/>
      <c r="D142" s="24" t="s">
        <v>137</v>
      </c>
      <c r="E142" s="24"/>
      <c r="F142" s="24"/>
      <c r="G142" s="84"/>
      <c r="H142" s="24"/>
      <c r="I142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4"/>
  <sheetViews>
    <sheetView tabSelected="1" view="pageBreakPreview" zoomScaleSheetLayoutView="100" zoomScalePageLayoutView="0" workbookViewId="0" topLeftCell="A1">
      <pane xSplit="1" ySplit="6" topLeftCell="B11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4" sqref="D134:D135"/>
    </sheetView>
  </sheetViews>
  <sheetFormatPr defaultColWidth="9.00390625" defaultRowHeight="12.75"/>
  <cols>
    <col min="1" max="1" width="44.875" style="21" customWidth="1"/>
    <col min="2" max="2" width="13.00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hidden="1" customWidth="1"/>
    <col min="7" max="7" width="12.00390625" style="85" customWidth="1"/>
    <col min="8" max="8" width="11.875" style="22" customWidth="1"/>
    <col min="9" max="9" width="10.00390625" style="22" customWidth="1"/>
    <col min="10" max="10" width="9.125" style="21" customWidth="1"/>
    <col min="11" max="13" width="10.00390625" style="21" bestFit="1" customWidth="1"/>
    <col min="14" max="16384" width="9.125" style="21" customWidth="1"/>
  </cols>
  <sheetData>
    <row r="1" spans="1:9" ht="12.75">
      <c r="A1" s="111" t="s">
        <v>102</v>
      </c>
      <c r="B1" s="111"/>
      <c r="C1" s="111"/>
      <c r="D1" s="111"/>
      <c r="E1" s="111"/>
      <c r="F1" s="111"/>
      <c r="G1" s="111"/>
      <c r="H1" s="111"/>
      <c r="I1" s="86"/>
    </row>
    <row r="2" spans="1:9" ht="12.75">
      <c r="A2" s="112" t="s">
        <v>173</v>
      </c>
      <c r="B2" s="112"/>
      <c r="C2" s="112"/>
      <c r="D2" s="112"/>
      <c r="E2" s="112"/>
      <c r="F2" s="112"/>
      <c r="G2" s="112"/>
      <c r="H2" s="112"/>
      <c r="I2" s="87"/>
    </row>
    <row r="3" spans="1:9" ht="5.25" customHeight="1" hidden="1">
      <c r="A3" s="107" t="s">
        <v>0</v>
      </c>
      <c r="B3" s="107"/>
      <c r="C3" s="107"/>
      <c r="D3" s="107"/>
      <c r="E3" s="107"/>
      <c r="F3" s="107"/>
      <c r="G3" s="107"/>
      <c r="H3" s="107"/>
      <c r="I3" s="31"/>
    </row>
    <row r="4" spans="1:9" ht="45" customHeight="1">
      <c r="A4" s="4" t="s">
        <v>1</v>
      </c>
      <c r="B4" s="17" t="s">
        <v>2</v>
      </c>
      <c r="C4" s="17" t="s">
        <v>174</v>
      </c>
      <c r="D4" s="17" t="s">
        <v>68</v>
      </c>
      <c r="E4" s="17" t="s">
        <v>66</v>
      </c>
      <c r="F4" s="17" t="s">
        <v>69</v>
      </c>
      <c r="G4" s="17" t="s">
        <v>156</v>
      </c>
      <c r="H4" s="17" t="s">
        <v>65</v>
      </c>
      <c r="I4" s="17" t="s">
        <v>71</v>
      </c>
    </row>
    <row r="5" spans="1:9" ht="12.75">
      <c r="A5" s="88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</row>
    <row r="6" spans="1:9" ht="12.75">
      <c r="A6" s="113" t="s">
        <v>3</v>
      </c>
      <c r="B6" s="113"/>
      <c r="C6" s="113"/>
      <c r="D6" s="113"/>
      <c r="E6" s="113"/>
      <c r="F6" s="113"/>
      <c r="G6" s="113"/>
      <c r="H6" s="113"/>
      <c r="I6" s="114"/>
    </row>
    <row r="7" spans="1:9" ht="12.75">
      <c r="A7" s="46" t="s">
        <v>104</v>
      </c>
      <c r="B7" s="33">
        <f>B8+B17+B22+B27+B30+B38+B47+B48+B49+B53+B64</f>
        <v>722378.1900000001</v>
      </c>
      <c r="C7" s="33">
        <f>C8+C17+C22+C27+C30+C38+C47+C48+C49+C53+C64</f>
        <v>236877.6</v>
      </c>
      <c r="D7" s="33">
        <f>D8+D17+D22+D27+D30+D38+D47+D48+D49+D53+D64+D37</f>
        <v>254177.27</v>
      </c>
      <c r="E7" s="25">
        <f>D7/B7*100</f>
        <v>35.1861772017231</v>
      </c>
      <c r="F7" s="25">
        <v>27699.089999999997</v>
      </c>
      <c r="G7" s="80">
        <v>270956.50000000006</v>
      </c>
      <c r="H7" s="25">
        <f>C7/G7*100</f>
        <v>87.42274128873083</v>
      </c>
      <c r="I7" s="33">
        <f>D7-Апрель!D7</f>
        <v>50919.28999999998</v>
      </c>
    </row>
    <row r="8" spans="1:9" ht="12.75">
      <c r="A8" s="47" t="s">
        <v>4</v>
      </c>
      <c r="B8" s="25">
        <f>B9+B10</f>
        <v>365325.60000000003</v>
      </c>
      <c r="C8" s="25">
        <f>C9+C10</f>
        <v>106021</v>
      </c>
      <c r="D8" s="25">
        <f>D9+D10</f>
        <v>117278.80000000002</v>
      </c>
      <c r="E8" s="25">
        <f aca="true" t="shared" si="0" ref="E8:E73">D8/B8*100</f>
        <v>32.10254085670427</v>
      </c>
      <c r="F8" s="25">
        <v>10645.39</v>
      </c>
      <c r="G8" s="94">
        <v>147778.8</v>
      </c>
      <c r="H8" s="25">
        <f aca="true" t="shared" si="1" ref="H8:H73">C8/G8*100</f>
        <v>71.7430375669582</v>
      </c>
      <c r="I8" s="33">
        <f>D8-Апрель!D8</f>
        <v>30666.089999999997</v>
      </c>
    </row>
    <row r="9" spans="1:9" ht="25.5">
      <c r="A9" s="54" t="s">
        <v>5</v>
      </c>
      <c r="B9" s="27">
        <v>8631</v>
      </c>
      <c r="C9" s="27">
        <v>5750</v>
      </c>
      <c r="D9" s="27">
        <v>7350.42</v>
      </c>
      <c r="E9" s="27">
        <f t="shared" si="0"/>
        <v>85.16301703163018</v>
      </c>
      <c r="F9" s="25">
        <v>200.86</v>
      </c>
      <c r="G9" s="77">
        <v>1435.6</v>
      </c>
      <c r="H9" s="25">
        <f t="shared" si="1"/>
        <v>400.5293953747562</v>
      </c>
      <c r="I9" s="33">
        <f>D9-Апрель!D9</f>
        <v>1022.29</v>
      </c>
    </row>
    <row r="10" spans="1:9" ht="12.75" customHeight="1">
      <c r="A10" s="54" t="s">
        <v>70</v>
      </c>
      <c r="B10" s="33">
        <f>SUM(B11:B16)</f>
        <v>356694.60000000003</v>
      </c>
      <c r="C10" s="33">
        <f>SUM(C11:C16)</f>
        <v>100271</v>
      </c>
      <c r="D10" s="33">
        <f>SUM(D11:D16)</f>
        <v>109928.38000000002</v>
      </c>
      <c r="E10" s="25">
        <f t="shared" si="0"/>
        <v>30.818627475717324</v>
      </c>
      <c r="F10" s="25">
        <v>10444.529999999999</v>
      </c>
      <c r="G10" s="95">
        <v>146343.3</v>
      </c>
      <c r="H10" s="25">
        <f t="shared" si="1"/>
        <v>68.51765677007421</v>
      </c>
      <c r="I10" s="33">
        <f>D10-Апрель!D10</f>
        <v>29643.800000000003</v>
      </c>
    </row>
    <row r="11" spans="1:9" ht="51">
      <c r="A11" s="51" t="s">
        <v>74</v>
      </c>
      <c r="B11" s="27">
        <v>336860.2</v>
      </c>
      <c r="C11" s="27">
        <v>91000</v>
      </c>
      <c r="D11" s="27">
        <v>104328.24</v>
      </c>
      <c r="E11" s="27">
        <f t="shared" si="0"/>
        <v>30.97078253827552</v>
      </c>
      <c r="F11" s="27">
        <v>10058</v>
      </c>
      <c r="G11" s="78">
        <v>93866.5</v>
      </c>
      <c r="H11" s="25">
        <f t="shared" si="1"/>
        <v>96.94619486185168</v>
      </c>
      <c r="I11" s="33">
        <f>D11-Апрель!D11</f>
        <v>27395.98000000001</v>
      </c>
    </row>
    <row r="12" spans="1:9" ht="51" customHeight="1">
      <c r="A12" s="51" t="s">
        <v>75</v>
      </c>
      <c r="B12" s="27">
        <v>1745</v>
      </c>
      <c r="C12" s="27">
        <v>681</v>
      </c>
      <c r="D12" s="27">
        <v>507.63</v>
      </c>
      <c r="E12" s="27">
        <f t="shared" si="0"/>
        <v>29.09054441260745</v>
      </c>
      <c r="F12" s="27">
        <v>81.56</v>
      </c>
      <c r="G12" s="78">
        <v>30.6</v>
      </c>
      <c r="H12" s="25">
        <f t="shared" si="1"/>
        <v>2225.4901960784314</v>
      </c>
      <c r="I12" s="33">
        <f>D12-Апрель!D12</f>
        <v>-392.94000000000005</v>
      </c>
    </row>
    <row r="13" spans="1:9" ht="25.5">
      <c r="A13" s="51" t="s">
        <v>76</v>
      </c>
      <c r="B13" s="27">
        <v>5600.4</v>
      </c>
      <c r="C13" s="27">
        <v>2130</v>
      </c>
      <c r="D13" s="27">
        <v>63.43</v>
      </c>
      <c r="E13" s="27">
        <f t="shared" si="0"/>
        <v>1.132597671594886</v>
      </c>
      <c r="F13" s="27">
        <v>117.15</v>
      </c>
      <c r="G13" s="78">
        <v>1985.4</v>
      </c>
      <c r="H13" s="25">
        <f t="shared" si="1"/>
        <v>107.28316711997581</v>
      </c>
      <c r="I13" s="33">
        <f>D13-Апрель!D13</f>
        <v>21.659999999999997</v>
      </c>
    </row>
    <row r="14" spans="1:9" ht="63.75">
      <c r="A14" s="51" t="s">
        <v>78</v>
      </c>
      <c r="B14" s="27">
        <v>3850</v>
      </c>
      <c r="C14" s="27">
        <v>1460</v>
      </c>
      <c r="D14" s="27">
        <v>1536.02</v>
      </c>
      <c r="E14" s="27">
        <f t="shared" si="0"/>
        <v>39.896623376623374</v>
      </c>
      <c r="F14" s="27">
        <v>187.82</v>
      </c>
      <c r="G14" s="78">
        <v>1486.6</v>
      </c>
      <c r="H14" s="25">
        <f t="shared" si="1"/>
        <v>98.21068209336742</v>
      </c>
      <c r="I14" s="33">
        <f>D14-Апрель!D14</f>
        <v>371.8899999999999</v>
      </c>
    </row>
    <row r="15" spans="1:9" ht="37.5" customHeight="1">
      <c r="A15" s="51" t="s">
        <v>145</v>
      </c>
      <c r="B15" s="27">
        <v>8639</v>
      </c>
      <c r="C15" s="27">
        <v>5000</v>
      </c>
      <c r="D15" s="27">
        <v>1948.85</v>
      </c>
      <c r="E15" s="27">
        <f t="shared" si="0"/>
        <v>22.5587452251418</v>
      </c>
      <c r="F15" s="27"/>
      <c r="G15" s="93">
        <v>48974.2</v>
      </c>
      <c r="H15" s="25">
        <f t="shared" si="1"/>
        <v>10.209457224416122</v>
      </c>
      <c r="I15" s="33">
        <f>D15-Апрель!D15</f>
        <v>1905.75</v>
      </c>
    </row>
    <row r="16" spans="1:9" ht="53.25" customHeight="1">
      <c r="A16" s="51" t="s">
        <v>164</v>
      </c>
      <c r="B16" s="27">
        <v>0</v>
      </c>
      <c r="C16" s="27">
        <v>0</v>
      </c>
      <c r="D16" s="27">
        <v>1544.21</v>
      </c>
      <c r="E16" s="27">
        <v>0</v>
      </c>
      <c r="F16" s="27"/>
      <c r="G16" s="33">
        <v>0</v>
      </c>
      <c r="H16" s="25">
        <v>0</v>
      </c>
      <c r="I16" s="33">
        <f>D16-Апрель!D16</f>
        <v>341.46000000000004</v>
      </c>
    </row>
    <row r="17" spans="1:9" ht="39.75" customHeight="1">
      <c r="A17" s="53" t="s">
        <v>82</v>
      </c>
      <c r="B17" s="26">
        <f>SUM(B18:B21)</f>
        <v>59089.46000000001</v>
      </c>
      <c r="C17" s="26">
        <f>SUM(C18:C21)</f>
        <v>27270</v>
      </c>
      <c r="D17" s="26">
        <f>SUM(D18:D21)</f>
        <v>26671.94</v>
      </c>
      <c r="E17" s="25">
        <f t="shared" si="0"/>
        <v>45.13823615920673</v>
      </c>
      <c r="F17" s="25">
        <v>1853.18</v>
      </c>
      <c r="G17" s="77">
        <v>24837.6</v>
      </c>
      <c r="H17" s="25">
        <f t="shared" si="1"/>
        <v>109.79321673591652</v>
      </c>
      <c r="I17" s="33">
        <f>D17-Апрель!D17</f>
        <v>5369.559999999998</v>
      </c>
    </row>
    <row r="18" spans="1:9" ht="37.5" customHeight="1">
      <c r="A18" s="37" t="s">
        <v>83</v>
      </c>
      <c r="B18" s="27">
        <v>27987.73</v>
      </c>
      <c r="C18" s="27">
        <v>13245</v>
      </c>
      <c r="D18" s="27">
        <v>13752.13</v>
      </c>
      <c r="E18" s="27">
        <f t="shared" si="0"/>
        <v>49.13628222081605</v>
      </c>
      <c r="F18" s="27">
        <v>844.23</v>
      </c>
      <c r="G18" s="93">
        <v>12161.3</v>
      </c>
      <c r="H18" s="25">
        <f t="shared" si="1"/>
        <v>108.91105391693323</v>
      </c>
      <c r="I18" s="33">
        <f>D18-Апрель!D18</f>
        <v>2803.129999999999</v>
      </c>
    </row>
    <row r="19" spans="1:9" ht="56.25" customHeight="1">
      <c r="A19" s="37" t="s">
        <v>84</v>
      </c>
      <c r="B19" s="27">
        <v>194.4</v>
      </c>
      <c r="C19" s="27">
        <v>75</v>
      </c>
      <c r="D19" s="27">
        <v>68.24</v>
      </c>
      <c r="E19" s="27">
        <f t="shared" si="0"/>
        <v>35.102880658436206</v>
      </c>
      <c r="F19" s="27">
        <v>5.74</v>
      </c>
      <c r="G19" s="93">
        <v>75.3</v>
      </c>
      <c r="H19" s="25">
        <f t="shared" si="1"/>
        <v>99.60159362549801</v>
      </c>
      <c r="I19" s="33">
        <f>D19-Апрель!D19</f>
        <v>17.96999999999999</v>
      </c>
    </row>
    <row r="20" spans="1:9" ht="55.5" customHeight="1">
      <c r="A20" s="37" t="s">
        <v>85</v>
      </c>
      <c r="B20" s="27">
        <v>34598.53</v>
      </c>
      <c r="C20" s="27">
        <v>15450</v>
      </c>
      <c r="D20" s="27">
        <v>14565.04</v>
      </c>
      <c r="E20" s="27">
        <f t="shared" si="0"/>
        <v>42.09727985553144</v>
      </c>
      <c r="F20" s="27">
        <v>1158.41</v>
      </c>
      <c r="G20" s="93">
        <v>14093.3</v>
      </c>
      <c r="H20" s="25">
        <f t="shared" si="1"/>
        <v>109.62656013850554</v>
      </c>
      <c r="I20" s="33">
        <f>D20-Апрель!D20</f>
        <v>2905.8100000000013</v>
      </c>
    </row>
    <row r="21" spans="1:9" ht="15.75" customHeight="1">
      <c r="A21" s="37" t="s">
        <v>86</v>
      </c>
      <c r="B21" s="27">
        <v>-3691.2</v>
      </c>
      <c r="C21" s="27">
        <v>-1500</v>
      </c>
      <c r="D21" s="27">
        <v>-1713.47</v>
      </c>
      <c r="E21" s="27">
        <f t="shared" si="0"/>
        <v>46.42040528825315</v>
      </c>
      <c r="F21" s="27">
        <v>-155.2</v>
      </c>
      <c r="G21" s="93">
        <v>-1492.3</v>
      </c>
      <c r="H21" s="25">
        <f t="shared" si="1"/>
        <v>100.51598204114454</v>
      </c>
      <c r="I21" s="33">
        <f>D21-Апрель!D21</f>
        <v>-357.35000000000014</v>
      </c>
    </row>
    <row r="22" spans="1:9" ht="12.75">
      <c r="A22" s="54" t="s">
        <v>7</v>
      </c>
      <c r="B22" s="26">
        <f>SUM(B23:B26)</f>
        <v>148961.30000000002</v>
      </c>
      <c r="C22" s="26">
        <f>SUM(C23:C26)</f>
        <v>70200</v>
      </c>
      <c r="D22" s="26">
        <f>SUM(D23:D26)</f>
        <v>74270.33</v>
      </c>
      <c r="E22" s="25">
        <f t="shared" si="0"/>
        <v>49.85880896581863</v>
      </c>
      <c r="F22" s="25">
        <v>7362.96</v>
      </c>
      <c r="G22" s="77">
        <v>58267.100000000006</v>
      </c>
      <c r="H22" s="25">
        <f t="shared" si="1"/>
        <v>120.47965318335731</v>
      </c>
      <c r="I22" s="33">
        <f>D22-Апрель!D22</f>
        <v>6362.069999999992</v>
      </c>
    </row>
    <row r="23" spans="1:9" ht="28.5" customHeight="1">
      <c r="A23" s="51" t="s">
        <v>146</v>
      </c>
      <c r="B23" s="27">
        <v>116885.1</v>
      </c>
      <c r="C23" s="27">
        <v>56700</v>
      </c>
      <c r="D23" s="27">
        <v>61389.5</v>
      </c>
      <c r="E23" s="27">
        <f t="shared" si="0"/>
        <v>52.52123666746231</v>
      </c>
      <c r="F23" s="27"/>
      <c r="G23" s="78">
        <v>46656</v>
      </c>
      <c r="H23" s="25">
        <f t="shared" si="1"/>
        <v>121.52777777777777</v>
      </c>
      <c r="I23" s="33">
        <f>D23-Апрель!D23</f>
        <v>5839.239999999998</v>
      </c>
    </row>
    <row r="24" spans="1:9" ht="19.5" customHeight="1">
      <c r="A24" s="51" t="s">
        <v>89</v>
      </c>
      <c r="B24" s="27">
        <v>0</v>
      </c>
      <c r="C24" s="27">
        <v>0</v>
      </c>
      <c r="D24" s="27">
        <v>-657.75</v>
      </c>
      <c r="E24" s="27" t="s">
        <v>148</v>
      </c>
      <c r="F24" s="27">
        <v>7198.75</v>
      </c>
      <c r="G24" s="78">
        <v>-4.4</v>
      </c>
      <c r="H24" s="25">
        <f t="shared" si="1"/>
        <v>0</v>
      </c>
      <c r="I24" s="33">
        <f>D24-Апрель!D24</f>
        <v>-0.12000000000000455</v>
      </c>
    </row>
    <row r="25" spans="1:9" ht="15" customHeight="1">
      <c r="A25" s="51" t="s">
        <v>87</v>
      </c>
      <c r="B25" s="27">
        <v>715</v>
      </c>
      <c r="C25" s="27">
        <v>300</v>
      </c>
      <c r="D25" s="27">
        <v>439.97</v>
      </c>
      <c r="E25" s="27">
        <f t="shared" si="0"/>
        <v>61.53426573426574</v>
      </c>
      <c r="F25" s="27">
        <v>113.58</v>
      </c>
      <c r="G25" s="93">
        <v>541.8</v>
      </c>
      <c r="H25" s="25">
        <f t="shared" si="1"/>
        <v>55.370985603543744</v>
      </c>
      <c r="I25" s="33">
        <f>D25-Апрель!D25</f>
        <v>13.870000000000005</v>
      </c>
    </row>
    <row r="26" spans="1:9" ht="27" customHeight="1">
      <c r="A26" s="51" t="s">
        <v>88</v>
      </c>
      <c r="B26" s="27">
        <v>31361.2</v>
      </c>
      <c r="C26" s="27">
        <v>13200</v>
      </c>
      <c r="D26" s="27">
        <v>13098.61</v>
      </c>
      <c r="E26" s="27">
        <f t="shared" si="0"/>
        <v>41.76692856140709</v>
      </c>
      <c r="F26" s="27">
        <v>50.63</v>
      </c>
      <c r="G26" s="78">
        <v>11073.7</v>
      </c>
      <c r="H26" s="25">
        <f t="shared" si="1"/>
        <v>119.20135094864408</v>
      </c>
      <c r="I26" s="33">
        <f>D26-Апрель!D26</f>
        <v>509.0799999999999</v>
      </c>
    </row>
    <row r="27" spans="1:9" ht="12.75">
      <c r="A27" s="54" t="s">
        <v>8</v>
      </c>
      <c r="B27" s="26">
        <f>SUM(B28:B29)</f>
        <v>42454.6</v>
      </c>
      <c r="C27" s="26">
        <f>SUM(C28:C29)</f>
        <v>6650</v>
      </c>
      <c r="D27" s="26">
        <f>SUM(D28:D29)</f>
        <v>7103.74</v>
      </c>
      <c r="E27" s="25">
        <f t="shared" si="0"/>
        <v>16.73255666052677</v>
      </c>
      <c r="F27" s="25">
        <v>2465.82</v>
      </c>
      <c r="G27" s="77">
        <v>7333.1</v>
      </c>
      <c r="H27" s="25">
        <f t="shared" si="1"/>
        <v>90.68470360420558</v>
      </c>
      <c r="I27" s="33">
        <f>D27-Апрель!D27</f>
        <v>1225.5900000000001</v>
      </c>
    </row>
    <row r="28" spans="1:9" ht="12.75">
      <c r="A28" s="51" t="s">
        <v>106</v>
      </c>
      <c r="B28" s="27">
        <v>24668.5</v>
      </c>
      <c r="C28" s="27">
        <v>2500</v>
      </c>
      <c r="D28" s="27">
        <v>1957.52</v>
      </c>
      <c r="E28" s="27">
        <f t="shared" si="0"/>
        <v>7.935302105924559</v>
      </c>
      <c r="F28" s="27">
        <v>536.1</v>
      </c>
      <c r="G28" s="93">
        <v>2834.6</v>
      </c>
      <c r="H28" s="25">
        <f t="shared" si="1"/>
        <v>88.1958653778311</v>
      </c>
      <c r="I28" s="33">
        <f>D28-Апрель!D28</f>
        <v>248.56999999999994</v>
      </c>
    </row>
    <row r="29" spans="1:9" ht="12.75">
      <c r="A29" s="51" t="s">
        <v>107</v>
      </c>
      <c r="B29" s="27">
        <v>17786.1</v>
      </c>
      <c r="C29" s="27">
        <v>4150</v>
      </c>
      <c r="D29" s="27">
        <v>5146.22</v>
      </c>
      <c r="E29" s="27">
        <f t="shared" si="0"/>
        <v>28.93394279802768</v>
      </c>
      <c r="F29" s="27">
        <v>1929.72</v>
      </c>
      <c r="G29" s="78">
        <v>4498.5</v>
      </c>
      <c r="H29" s="25">
        <f t="shared" si="1"/>
        <v>92.25297321329332</v>
      </c>
      <c r="I29" s="33">
        <f>D29-Апрель!D29</f>
        <v>977.0200000000004</v>
      </c>
    </row>
    <row r="30" spans="1:9" ht="12.75">
      <c r="A30" s="47" t="s">
        <v>9</v>
      </c>
      <c r="B30" s="26">
        <f>SUM(B31:B33)</f>
        <v>15600</v>
      </c>
      <c r="C30" s="26">
        <f>SUM(C31:C33)</f>
        <v>6015</v>
      </c>
      <c r="D30" s="26">
        <f>SUM(D31:D33)</f>
        <v>7232.37</v>
      </c>
      <c r="E30" s="26">
        <f t="shared" si="0"/>
        <v>46.361346153846156</v>
      </c>
      <c r="F30" s="26">
        <v>793.07</v>
      </c>
      <c r="G30" s="77">
        <v>6399.2</v>
      </c>
      <c r="H30" s="25">
        <f t="shared" si="1"/>
        <v>93.99612451556445</v>
      </c>
      <c r="I30" s="33">
        <f>D30-Апрель!D30</f>
        <v>1394.2699999999995</v>
      </c>
    </row>
    <row r="31" spans="1:9" ht="25.5">
      <c r="A31" s="51" t="s">
        <v>10</v>
      </c>
      <c r="B31" s="27">
        <v>15550</v>
      </c>
      <c r="C31" s="27">
        <v>6000</v>
      </c>
      <c r="D31" s="27">
        <v>7212.37</v>
      </c>
      <c r="E31" s="27">
        <f t="shared" si="0"/>
        <v>46.38180064308682</v>
      </c>
      <c r="F31" s="27">
        <v>793.07</v>
      </c>
      <c r="G31" s="78">
        <v>6325.2</v>
      </c>
      <c r="H31" s="25">
        <f t="shared" si="1"/>
        <v>94.8586605957124</v>
      </c>
      <c r="I31" s="33">
        <f>D31-Апрель!D31</f>
        <v>1394.2699999999995</v>
      </c>
    </row>
    <row r="32" spans="1:9" ht="25.5">
      <c r="A32" s="51" t="s">
        <v>91</v>
      </c>
      <c r="B32" s="27">
        <v>0</v>
      </c>
      <c r="C32" s="27">
        <v>0</v>
      </c>
      <c r="D32" s="27">
        <v>0</v>
      </c>
      <c r="E32" s="27" t="s">
        <v>148</v>
      </c>
      <c r="F32" s="27">
        <v>0</v>
      </c>
      <c r="G32" s="96">
        <v>24</v>
      </c>
      <c r="H32" s="25">
        <f t="shared" si="1"/>
        <v>0</v>
      </c>
      <c r="I32" s="33">
        <f>D32-Апрель!D32</f>
        <v>0</v>
      </c>
    </row>
    <row r="33" spans="1:9" ht="25.5">
      <c r="A33" s="51" t="s">
        <v>90</v>
      </c>
      <c r="B33" s="27">
        <v>50</v>
      </c>
      <c r="C33" s="27">
        <v>15</v>
      </c>
      <c r="D33" s="27">
        <v>20</v>
      </c>
      <c r="E33" s="27">
        <f t="shared" si="0"/>
        <v>40</v>
      </c>
      <c r="F33" s="27">
        <v>0</v>
      </c>
      <c r="G33" s="96">
        <v>50</v>
      </c>
      <c r="H33" s="25">
        <f t="shared" si="1"/>
        <v>30</v>
      </c>
      <c r="I33" s="33">
        <f>D33-Апрель!D33</f>
        <v>0</v>
      </c>
    </row>
    <row r="34" spans="1:9" ht="25.5" hidden="1">
      <c r="A34" s="54" t="s">
        <v>11</v>
      </c>
      <c r="B34" s="27">
        <v>0</v>
      </c>
      <c r="C34" s="27">
        <v>0</v>
      </c>
      <c r="D34" s="27">
        <v>0.02</v>
      </c>
      <c r="E34" s="25" t="e">
        <f t="shared" si="0"/>
        <v>#DIV/0!</v>
      </c>
      <c r="F34" s="25">
        <v>0</v>
      </c>
      <c r="G34" s="78">
        <v>0.02</v>
      </c>
      <c r="H34" s="25">
        <f t="shared" si="1"/>
        <v>0</v>
      </c>
      <c r="I34" s="33">
        <f>D34-Апрель!D34</f>
        <v>0</v>
      </c>
    </row>
    <row r="35" spans="1:9" ht="25.5" hidden="1">
      <c r="A35" s="51" t="s">
        <v>116</v>
      </c>
      <c r="B35" s="33">
        <v>0</v>
      </c>
      <c r="C35" s="33">
        <v>0</v>
      </c>
      <c r="D35" s="33">
        <v>0.02</v>
      </c>
      <c r="E35" s="25" t="e">
        <f t="shared" si="0"/>
        <v>#DIV/0!</v>
      </c>
      <c r="F35" s="25">
        <v>0</v>
      </c>
      <c r="G35" s="80">
        <v>0.02</v>
      </c>
      <c r="H35" s="25">
        <f t="shared" si="1"/>
        <v>0</v>
      </c>
      <c r="I35" s="33">
        <f>D35-Апрель!D35</f>
        <v>0</v>
      </c>
    </row>
    <row r="36" spans="1:9" ht="25.5" hidden="1">
      <c r="A36" s="51" t="s">
        <v>92</v>
      </c>
      <c r="B36" s="27">
        <v>0</v>
      </c>
      <c r="C36" s="27">
        <v>0</v>
      </c>
      <c r="D36" s="27">
        <v>0</v>
      </c>
      <c r="E36" s="25" t="e">
        <f t="shared" si="0"/>
        <v>#DIV/0!</v>
      </c>
      <c r="F36" s="25">
        <v>0</v>
      </c>
      <c r="G36" s="78">
        <v>0</v>
      </c>
      <c r="H36" s="25" t="e">
        <f t="shared" si="1"/>
        <v>#DIV/0!</v>
      </c>
      <c r="I36" s="33">
        <f>D36-Апрель!D36</f>
        <v>0</v>
      </c>
    </row>
    <row r="37" spans="1:9" ht="38.25">
      <c r="A37" s="54" t="s">
        <v>150</v>
      </c>
      <c r="B37" s="27">
        <v>0</v>
      </c>
      <c r="C37" s="27">
        <v>0</v>
      </c>
      <c r="D37" s="27">
        <v>-8.11</v>
      </c>
      <c r="E37" s="25">
        <v>0</v>
      </c>
      <c r="F37" s="25"/>
      <c r="G37" s="77">
        <v>0</v>
      </c>
      <c r="H37" s="25">
        <v>0</v>
      </c>
      <c r="I37" s="33">
        <f>D37-Апрель!D37</f>
        <v>-0.009999999999999787</v>
      </c>
    </row>
    <row r="38" spans="1:9" ht="39.75" customHeight="1">
      <c r="A38" s="54" t="s">
        <v>12</v>
      </c>
      <c r="B38" s="26">
        <f>SUM(B40:B46)</f>
        <v>57702.52</v>
      </c>
      <c r="C38" s="26">
        <f>SUM(C40:C46)</f>
        <v>24930.290000000005</v>
      </c>
      <c r="D38" s="26">
        <f>SUM(D40:D46)</f>
        <v>20493.399999999998</v>
      </c>
      <c r="E38" s="26">
        <f t="shared" si="0"/>
        <v>35.51560659742417</v>
      </c>
      <c r="F38" s="26">
        <v>3247.05</v>
      </c>
      <c r="G38" s="77">
        <v>20333.1</v>
      </c>
      <c r="H38" s="25">
        <f t="shared" si="1"/>
        <v>122.60939059956428</v>
      </c>
      <c r="I38" s="33">
        <f>D38-Апрель!D38</f>
        <v>2694.7800000000025</v>
      </c>
    </row>
    <row r="39" spans="1:9" ht="81.75" customHeight="1" hidden="1">
      <c r="A39" s="51" t="s">
        <v>114</v>
      </c>
      <c r="B39" s="27"/>
      <c r="C39" s="27"/>
      <c r="D39" s="27"/>
      <c r="E39" s="25" t="e">
        <f t="shared" si="0"/>
        <v>#DIV/0!</v>
      </c>
      <c r="F39" s="25"/>
      <c r="G39" s="78"/>
      <c r="H39" s="25" t="e">
        <f t="shared" si="1"/>
        <v>#DIV/0!</v>
      </c>
      <c r="I39" s="33">
        <f>D39-Апрель!D39</f>
        <v>0</v>
      </c>
    </row>
    <row r="40" spans="1:9" ht="76.5">
      <c r="A40" s="51" t="s">
        <v>117</v>
      </c>
      <c r="B40" s="27">
        <v>29271.18</v>
      </c>
      <c r="C40" s="27">
        <v>12196.35</v>
      </c>
      <c r="D40" s="27">
        <v>9998.8</v>
      </c>
      <c r="E40" s="27">
        <f t="shared" si="0"/>
        <v>34.15919686189624</v>
      </c>
      <c r="F40" s="27">
        <v>2393.3</v>
      </c>
      <c r="G40" s="93">
        <v>12298.4</v>
      </c>
      <c r="H40" s="25">
        <f t="shared" si="1"/>
        <v>99.17021726403435</v>
      </c>
      <c r="I40" s="33">
        <f>D40-Апрель!D40</f>
        <v>842.4499999999989</v>
      </c>
    </row>
    <row r="41" spans="1:9" ht="76.5">
      <c r="A41" s="51" t="s">
        <v>125</v>
      </c>
      <c r="B41" s="27">
        <v>5434.31</v>
      </c>
      <c r="C41" s="27">
        <v>2264.3</v>
      </c>
      <c r="D41" s="27">
        <v>2204.11</v>
      </c>
      <c r="E41" s="27">
        <f t="shared" si="0"/>
        <v>40.559151023773026</v>
      </c>
      <c r="F41" s="27">
        <v>75.44</v>
      </c>
      <c r="G41" s="93">
        <v>1319.1</v>
      </c>
      <c r="H41" s="25">
        <f t="shared" si="1"/>
        <v>171.65491623076343</v>
      </c>
      <c r="I41" s="33">
        <f>D41-Апрель!D41</f>
        <v>407.47</v>
      </c>
    </row>
    <row r="42" spans="1:9" ht="76.5">
      <c r="A42" s="51" t="s">
        <v>118</v>
      </c>
      <c r="B42" s="27">
        <v>515.73</v>
      </c>
      <c r="C42" s="27">
        <v>209.39000000000001</v>
      </c>
      <c r="D42" s="27">
        <v>291.33</v>
      </c>
      <c r="E42" s="27">
        <f t="shared" si="0"/>
        <v>56.48886045023558</v>
      </c>
      <c r="F42" s="27">
        <v>3.43</v>
      </c>
      <c r="G42" s="93">
        <v>179.3</v>
      </c>
      <c r="H42" s="25">
        <f t="shared" si="1"/>
        <v>116.78192972671499</v>
      </c>
      <c r="I42" s="33">
        <f>D42-Апрель!D42</f>
        <v>41.69</v>
      </c>
    </row>
    <row r="43" spans="1:9" ht="38.25">
      <c r="A43" s="51" t="s">
        <v>119</v>
      </c>
      <c r="B43" s="27">
        <v>17384.33</v>
      </c>
      <c r="C43" s="27">
        <v>7243.450000000001</v>
      </c>
      <c r="D43" s="27">
        <v>5797.1</v>
      </c>
      <c r="E43" s="27">
        <f t="shared" si="0"/>
        <v>33.346697859509106</v>
      </c>
      <c r="F43" s="27">
        <v>538.73</v>
      </c>
      <c r="G43" s="93">
        <v>5253.6</v>
      </c>
      <c r="H43" s="25">
        <f t="shared" si="1"/>
        <v>137.8759326937719</v>
      </c>
      <c r="I43" s="33">
        <f>D43-Апрель!D43</f>
        <v>1064.0600000000004</v>
      </c>
    </row>
    <row r="44" spans="1:9" ht="44.25" customHeight="1">
      <c r="A44" s="51" t="s">
        <v>147</v>
      </c>
      <c r="B44" s="27">
        <v>62.2</v>
      </c>
      <c r="C44" s="27">
        <v>25.9</v>
      </c>
      <c r="D44" s="27">
        <v>13.73</v>
      </c>
      <c r="E44" s="27">
        <f t="shared" si="0"/>
        <v>22.07395498392283</v>
      </c>
      <c r="F44" s="27"/>
      <c r="G44" s="93">
        <v>0</v>
      </c>
      <c r="H44" s="25" t="s">
        <v>148</v>
      </c>
      <c r="I44" s="33">
        <f>D44-Апрель!D44</f>
        <v>5.140000000000001</v>
      </c>
    </row>
    <row r="45" spans="1:9" ht="51">
      <c r="A45" s="51" t="s">
        <v>120</v>
      </c>
      <c r="B45" s="27">
        <v>1531</v>
      </c>
      <c r="C45" s="27">
        <v>1531</v>
      </c>
      <c r="D45" s="27">
        <v>1027.37</v>
      </c>
      <c r="E45" s="27">
        <f t="shared" si="0"/>
        <v>67.10450685826257</v>
      </c>
      <c r="F45" s="27">
        <v>0</v>
      </c>
      <c r="G45" s="93">
        <v>146.6</v>
      </c>
      <c r="H45" s="25" t="s">
        <v>148</v>
      </c>
      <c r="I45" s="33">
        <f>D45-Апрель!D45</f>
        <v>30.179999999999836</v>
      </c>
    </row>
    <row r="46" spans="1:9" ht="76.5">
      <c r="A46" s="51" t="s">
        <v>121</v>
      </c>
      <c r="B46" s="27">
        <v>3503.77</v>
      </c>
      <c r="C46" s="27">
        <v>1459.9</v>
      </c>
      <c r="D46" s="27">
        <v>1160.96</v>
      </c>
      <c r="E46" s="27">
        <f t="shared" si="0"/>
        <v>33.134595021933514</v>
      </c>
      <c r="F46" s="27">
        <v>236.15</v>
      </c>
      <c r="G46" s="78">
        <v>1136.1</v>
      </c>
      <c r="H46" s="25">
        <f t="shared" si="1"/>
        <v>128.5010122348385</v>
      </c>
      <c r="I46" s="33">
        <f>D46-Апрель!D46</f>
        <v>303.7900000000001</v>
      </c>
    </row>
    <row r="47" spans="1:9" ht="27" customHeight="1">
      <c r="A47" s="54" t="s">
        <v>13</v>
      </c>
      <c r="B47" s="33">
        <v>598.72</v>
      </c>
      <c r="C47" s="33">
        <v>238</v>
      </c>
      <c r="D47" s="33">
        <v>1691.96</v>
      </c>
      <c r="E47" s="33">
        <f t="shared" si="0"/>
        <v>282.5962052378407</v>
      </c>
      <c r="F47" s="33">
        <v>43.6</v>
      </c>
      <c r="G47" s="77">
        <v>406.9</v>
      </c>
      <c r="H47" s="33">
        <f t="shared" si="1"/>
        <v>58.49102973703613</v>
      </c>
      <c r="I47" s="33">
        <f>D47-Апрель!D47</f>
        <v>1205.6200000000001</v>
      </c>
    </row>
    <row r="48" spans="1:9" ht="25.5">
      <c r="A48" s="54" t="s">
        <v>96</v>
      </c>
      <c r="B48" s="33">
        <v>1290.36</v>
      </c>
      <c r="C48" s="33">
        <v>376.06</v>
      </c>
      <c r="D48" s="33">
        <v>640.81</v>
      </c>
      <c r="E48" s="33">
        <f t="shared" si="0"/>
        <v>49.66133482129018</v>
      </c>
      <c r="F48" s="33">
        <v>561.58</v>
      </c>
      <c r="G48" s="77">
        <v>3394.5</v>
      </c>
      <c r="H48" s="33">
        <f t="shared" si="1"/>
        <v>11.078509353365739</v>
      </c>
      <c r="I48" s="33">
        <f>D48-Апрель!D48</f>
        <v>176.80999999999995</v>
      </c>
    </row>
    <row r="49" spans="1:9" ht="25.5">
      <c r="A49" s="54" t="s">
        <v>14</v>
      </c>
      <c r="B49" s="33">
        <f>SUM(B50:B52)</f>
        <v>33900</v>
      </c>
      <c r="C49" s="33">
        <f>SUM(C50:C52)</f>
        <v>0</v>
      </c>
      <c r="D49" s="33">
        <f>SUM(D50:D52)</f>
        <v>1349.28</v>
      </c>
      <c r="E49" s="25">
        <f t="shared" si="0"/>
        <v>3.9801769911504423</v>
      </c>
      <c r="F49" s="25">
        <v>585.5</v>
      </c>
      <c r="G49" s="80">
        <v>742.7</v>
      </c>
      <c r="H49" s="25">
        <f t="shared" si="1"/>
        <v>0</v>
      </c>
      <c r="I49" s="33">
        <f>D49-Апрель!D49</f>
        <v>130.53999999999996</v>
      </c>
    </row>
    <row r="50" spans="1:9" ht="12.75">
      <c r="A50" s="51" t="s">
        <v>94</v>
      </c>
      <c r="B50" s="27">
        <v>0</v>
      </c>
      <c r="C50" s="27">
        <v>0</v>
      </c>
      <c r="D50" s="27">
        <v>0</v>
      </c>
      <c r="E50" s="25">
        <v>0</v>
      </c>
      <c r="F50" s="25">
        <v>0</v>
      </c>
      <c r="G50" s="78">
        <v>0</v>
      </c>
      <c r="H50" s="25" t="s">
        <v>148</v>
      </c>
      <c r="I50" s="33">
        <f>D50-Апрель!D50</f>
        <v>0</v>
      </c>
    </row>
    <row r="51" spans="1:9" ht="76.5">
      <c r="A51" s="51" t="s">
        <v>95</v>
      </c>
      <c r="B51" s="27">
        <v>32500</v>
      </c>
      <c r="C51" s="27">
        <v>0</v>
      </c>
      <c r="D51" s="27">
        <v>0</v>
      </c>
      <c r="E51" s="25">
        <f t="shared" si="0"/>
        <v>0</v>
      </c>
      <c r="F51" s="25">
        <v>37.14</v>
      </c>
      <c r="G51" s="97">
        <v>0</v>
      </c>
      <c r="H51" s="25" t="s">
        <v>148</v>
      </c>
      <c r="I51" s="33">
        <f>D51-Апрель!D51</f>
        <v>0</v>
      </c>
    </row>
    <row r="52" spans="1:9" ht="17.25" customHeight="1">
      <c r="A52" s="51" t="s">
        <v>93</v>
      </c>
      <c r="B52" s="27">
        <v>1400</v>
      </c>
      <c r="C52" s="27">
        <v>0</v>
      </c>
      <c r="D52" s="27">
        <v>1349.28</v>
      </c>
      <c r="E52" s="27">
        <f t="shared" si="0"/>
        <v>96.37714285714284</v>
      </c>
      <c r="F52" s="27">
        <v>548.36</v>
      </c>
      <c r="G52" s="78">
        <v>742.7</v>
      </c>
      <c r="H52" s="25">
        <f t="shared" si="1"/>
        <v>0</v>
      </c>
      <c r="I52" s="33">
        <f>D52-Апрель!D52</f>
        <v>130.53999999999996</v>
      </c>
    </row>
    <row r="53" spans="1:9" ht="12.75">
      <c r="A53" s="54" t="s">
        <v>15</v>
      </c>
      <c r="B53" s="33">
        <v>-1455.1</v>
      </c>
      <c r="C53" s="33">
        <v>-3726.9999999999995</v>
      </c>
      <c r="D53" s="33">
        <v>-3080.32</v>
      </c>
      <c r="E53" s="26">
        <f t="shared" si="0"/>
        <v>211.69129269466018</v>
      </c>
      <c r="F53" s="26">
        <v>179.73</v>
      </c>
      <c r="G53" s="77">
        <v>1461</v>
      </c>
      <c r="H53" s="25">
        <f t="shared" si="1"/>
        <v>-255.0992470910335</v>
      </c>
      <c r="I53" s="33">
        <f>D53-Апрель!D53</f>
        <v>196.60999999999967</v>
      </c>
    </row>
    <row r="54" spans="1:9" ht="63.75" hidden="1">
      <c r="A54" s="51" t="s">
        <v>126</v>
      </c>
      <c r="B54" s="33">
        <v>223.07</v>
      </c>
      <c r="C54" s="33">
        <v>20</v>
      </c>
      <c r="D54" s="33"/>
      <c r="E54" s="26">
        <f t="shared" si="0"/>
        <v>0</v>
      </c>
      <c r="F54" s="26"/>
      <c r="G54" s="77"/>
      <c r="H54" s="25" t="e">
        <f t="shared" si="1"/>
        <v>#DIV/0!</v>
      </c>
      <c r="I54" s="33">
        <f>D54-Апрель!D54</f>
        <v>0</v>
      </c>
    </row>
    <row r="55" spans="1:9" ht="89.25" hidden="1">
      <c r="A55" s="51" t="s">
        <v>127</v>
      </c>
      <c r="B55" s="33">
        <v>223.07</v>
      </c>
      <c r="C55" s="33">
        <v>20</v>
      </c>
      <c r="D55" s="33"/>
      <c r="E55" s="26">
        <f t="shared" si="0"/>
        <v>0</v>
      </c>
      <c r="F55" s="26"/>
      <c r="G55" s="77"/>
      <c r="H55" s="25" t="e">
        <f t="shared" si="1"/>
        <v>#DIV/0!</v>
      </c>
      <c r="I55" s="33">
        <f>D55-Апрель!D55</f>
        <v>0</v>
      </c>
    </row>
    <row r="56" spans="1:9" ht="63.75" hidden="1">
      <c r="A56" s="51" t="s">
        <v>128</v>
      </c>
      <c r="B56" s="33">
        <v>223.07</v>
      </c>
      <c r="C56" s="33">
        <v>20</v>
      </c>
      <c r="D56" s="33"/>
      <c r="E56" s="26">
        <f t="shared" si="0"/>
        <v>0</v>
      </c>
      <c r="F56" s="26"/>
      <c r="G56" s="77"/>
      <c r="H56" s="25" t="e">
        <f t="shared" si="1"/>
        <v>#DIV/0!</v>
      </c>
      <c r="I56" s="33">
        <f>D56-Апрель!D56</f>
        <v>0</v>
      </c>
    </row>
    <row r="57" spans="1:9" ht="29.25" customHeight="1" hidden="1">
      <c r="A57" s="51" t="s">
        <v>129</v>
      </c>
      <c r="B57" s="33">
        <v>223.07</v>
      </c>
      <c r="C57" s="33">
        <v>20</v>
      </c>
      <c r="D57" s="33"/>
      <c r="E57" s="26">
        <f t="shared" si="0"/>
        <v>0</v>
      </c>
      <c r="F57" s="26"/>
      <c r="G57" s="77"/>
      <c r="H57" s="25" t="e">
        <f t="shared" si="1"/>
        <v>#DIV/0!</v>
      </c>
      <c r="I57" s="33">
        <f>D57-Апрель!D57</f>
        <v>0</v>
      </c>
    </row>
    <row r="58" spans="1:9" ht="38.25" customHeight="1" hidden="1">
      <c r="A58" s="51" t="s">
        <v>130</v>
      </c>
      <c r="B58" s="33">
        <v>223.07</v>
      </c>
      <c r="C58" s="33">
        <v>20</v>
      </c>
      <c r="D58" s="33"/>
      <c r="E58" s="26">
        <f t="shared" si="0"/>
        <v>0</v>
      </c>
      <c r="F58" s="26"/>
      <c r="G58" s="77"/>
      <c r="H58" s="25" t="e">
        <f t="shared" si="1"/>
        <v>#DIV/0!</v>
      </c>
      <c r="I58" s="33">
        <f>D58-Апрель!D58</f>
        <v>0</v>
      </c>
    </row>
    <row r="59" spans="1:9" ht="43.5" customHeight="1" hidden="1">
      <c r="A59" s="51" t="s">
        <v>131</v>
      </c>
      <c r="B59" s="33">
        <v>223.07</v>
      </c>
      <c r="C59" s="33">
        <v>20</v>
      </c>
      <c r="D59" s="33"/>
      <c r="E59" s="26">
        <f t="shared" si="0"/>
        <v>0</v>
      </c>
      <c r="F59" s="26"/>
      <c r="G59" s="77"/>
      <c r="H59" s="25" t="e">
        <f t="shared" si="1"/>
        <v>#DIV/0!</v>
      </c>
      <c r="I59" s="33">
        <f>D59-Апрель!D59</f>
        <v>0</v>
      </c>
    </row>
    <row r="60" spans="1:9" ht="40.5" customHeight="1" hidden="1">
      <c r="A60" s="51" t="s">
        <v>132</v>
      </c>
      <c r="B60" s="33">
        <v>223.07</v>
      </c>
      <c r="C60" s="33">
        <v>20</v>
      </c>
      <c r="D60" s="33"/>
      <c r="E60" s="26">
        <f t="shared" si="0"/>
        <v>0</v>
      </c>
      <c r="F60" s="26"/>
      <c r="G60" s="77"/>
      <c r="H60" s="25" t="e">
        <f t="shared" si="1"/>
        <v>#DIV/0!</v>
      </c>
      <c r="I60" s="33">
        <f>D60-Апрель!D60</f>
        <v>0</v>
      </c>
    </row>
    <row r="61" spans="1:9" ht="51" hidden="1">
      <c r="A61" s="51" t="s">
        <v>133</v>
      </c>
      <c r="B61" s="33">
        <v>223.07</v>
      </c>
      <c r="C61" s="33">
        <v>20</v>
      </c>
      <c r="D61" s="33"/>
      <c r="E61" s="26">
        <f t="shared" si="0"/>
        <v>0</v>
      </c>
      <c r="F61" s="26"/>
      <c r="G61" s="80"/>
      <c r="H61" s="25" t="e">
        <f t="shared" si="1"/>
        <v>#DIV/0!</v>
      </c>
      <c r="I61" s="33">
        <f>D61-Апрель!D61</f>
        <v>0</v>
      </c>
    </row>
    <row r="62" spans="1:9" ht="76.5" hidden="1">
      <c r="A62" s="51" t="s">
        <v>134</v>
      </c>
      <c r="B62" s="33">
        <v>223.07</v>
      </c>
      <c r="C62" s="33">
        <v>20</v>
      </c>
      <c r="D62" s="33"/>
      <c r="E62" s="26">
        <f t="shared" si="0"/>
        <v>0</v>
      </c>
      <c r="F62" s="26"/>
      <c r="G62" s="80"/>
      <c r="H62" s="25" t="e">
        <f t="shared" si="1"/>
        <v>#DIV/0!</v>
      </c>
      <c r="I62" s="33">
        <f>D62-Апрель!D62</f>
        <v>0</v>
      </c>
    </row>
    <row r="63" spans="1:9" ht="12.75" hidden="1">
      <c r="A63" s="51" t="s">
        <v>135</v>
      </c>
      <c r="B63" s="33">
        <v>223.07</v>
      </c>
      <c r="C63" s="33">
        <v>20</v>
      </c>
      <c r="D63" s="33"/>
      <c r="E63" s="26">
        <f t="shared" si="0"/>
        <v>0</v>
      </c>
      <c r="F63" s="26"/>
      <c r="G63" s="100"/>
      <c r="H63" s="25" t="e">
        <f t="shared" si="1"/>
        <v>#DIV/0!</v>
      </c>
      <c r="I63" s="33">
        <f>D63-Апрель!D63</f>
        <v>0</v>
      </c>
    </row>
    <row r="64" spans="1:9" ht="12.75">
      <c r="A64" s="47" t="s">
        <v>16</v>
      </c>
      <c r="B64" s="33">
        <v>-1089.27</v>
      </c>
      <c r="C64" s="33">
        <v>-1095.7499999999998</v>
      </c>
      <c r="D64" s="33">
        <v>533.07</v>
      </c>
      <c r="E64" s="26">
        <f t="shared" si="0"/>
        <v>-48.938279765347446</v>
      </c>
      <c r="F64" s="26">
        <v>-38.79</v>
      </c>
      <c r="G64" s="77">
        <v>2.5</v>
      </c>
      <c r="H64" s="25" t="s">
        <v>148</v>
      </c>
      <c r="I64" s="33">
        <f>D64-Апрель!D64</f>
        <v>1497.3600000000001</v>
      </c>
    </row>
    <row r="65" spans="1:9" ht="12.75">
      <c r="A65" s="54" t="s">
        <v>17</v>
      </c>
      <c r="B65" s="26">
        <f>B64+B53+B49+B48+B47+B38+B30+B27+B22+B17+B8</f>
        <v>722378.1900000001</v>
      </c>
      <c r="C65" s="26">
        <f>C64+C53+C49+C48+C47+C38+C30+C27+C22+C17+C8</f>
        <v>236877.6</v>
      </c>
      <c r="D65" s="26">
        <f>D64+D53+D49+D48+D47+D38+D30+D27+D22+D17+D8+D37</f>
        <v>254177.27000000002</v>
      </c>
      <c r="E65" s="26">
        <f t="shared" si="0"/>
        <v>35.1861772017231</v>
      </c>
      <c r="F65" s="26">
        <v>27699.089999999997</v>
      </c>
      <c r="G65" s="77">
        <v>270956.5</v>
      </c>
      <c r="H65" s="25">
        <f t="shared" si="1"/>
        <v>87.42274128873085</v>
      </c>
      <c r="I65" s="33">
        <f>D65-Апрель!D65</f>
        <v>50919.29000000001</v>
      </c>
    </row>
    <row r="66" spans="1:9" ht="12.75">
      <c r="A66" s="54" t="s">
        <v>18</v>
      </c>
      <c r="B66" s="26">
        <f>B67+B72+B73</f>
        <v>3649907.2199999997</v>
      </c>
      <c r="C66" s="26">
        <f>C67+C72+C73</f>
        <v>1073589.3099999998</v>
      </c>
      <c r="D66" s="26">
        <f>D67+D72+D73</f>
        <v>1072219.4899999998</v>
      </c>
      <c r="E66" s="26">
        <f t="shared" si="0"/>
        <v>29.37662316797192</v>
      </c>
      <c r="F66" s="26">
        <v>43822.57000000001</v>
      </c>
      <c r="G66" s="78">
        <v>718366.7</v>
      </c>
      <c r="H66" s="25">
        <f t="shared" si="1"/>
        <v>149.44864649210493</v>
      </c>
      <c r="I66" s="33">
        <f>D66-Апрель!D66</f>
        <v>238805.48999999976</v>
      </c>
    </row>
    <row r="67" spans="1:9" ht="25.5">
      <c r="A67" s="54" t="s">
        <v>19</v>
      </c>
      <c r="B67" s="26">
        <f>SUM(B68:B71)</f>
        <v>3658287.4699999997</v>
      </c>
      <c r="C67" s="26">
        <f>SUM(C68:C71)</f>
        <v>1081969.5499999998</v>
      </c>
      <c r="D67" s="26">
        <f>SUM(D68:D71)</f>
        <v>1081969.5499999998</v>
      </c>
      <c r="E67" s="26">
        <f t="shared" si="0"/>
        <v>29.575848231522382</v>
      </c>
      <c r="F67" s="26">
        <v>46091.770000000004</v>
      </c>
      <c r="G67" s="78">
        <v>736739.6</v>
      </c>
      <c r="H67" s="25">
        <f t="shared" si="1"/>
        <v>146.85915484928458</v>
      </c>
      <c r="I67" s="33">
        <f>D67-Апрель!D67</f>
        <v>240175.2999999998</v>
      </c>
    </row>
    <row r="68" spans="1:9" ht="12.75">
      <c r="A68" s="51" t="s">
        <v>108</v>
      </c>
      <c r="B68" s="27">
        <v>578714.4</v>
      </c>
      <c r="C68" s="27">
        <v>289642.10000000003</v>
      </c>
      <c r="D68" s="27">
        <v>289642.1</v>
      </c>
      <c r="E68" s="25">
        <f t="shared" si="0"/>
        <v>50.049229810075566</v>
      </c>
      <c r="F68" s="25">
        <v>15902.8</v>
      </c>
      <c r="G68" s="78">
        <v>166802.3</v>
      </c>
      <c r="H68" s="25">
        <f t="shared" si="1"/>
        <v>173.64394855466625</v>
      </c>
      <c r="I68" s="33">
        <f>D68-Апрель!D68</f>
        <v>37050.399999999965</v>
      </c>
    </row>
    <row r="69" spans="1:9" ht="12.75" customHeight="1">
      <c r="A69" s="51" t="s">
        <v>109</v>
      </c>
      <c r="B69" s="27">
        <v>1711310.6</v>
      </c>
      <c r="C69" s="27">
        <v>258310.62999999998</v>
      </c>
      <c r="D69" s="27">
        <v>258310.63</v>
      </c>
      <c r="E69" s="25">
        <f t="shared" si="0"/>
        <v>15.094316017209266</v>
      </c>
      <c r="F69" s="25">
        <v>0</v>
      </c>
      <c r="G69" s="78">
        <v>140177.3</v>
      </c>
      <c r="H69" s="25">
        <f t="shared" si="1"/>
        <v>184.27422271651685</v>
      </c>
      <c r="I69" s="33">
        <f>D69-Апрель!D69</f>
        <v>44834.02000000002</v>
      </c>
    </row>
    <row r="70" spans="1:9" ht="18.75" customHeight="1">
      <c r="A70" s="51" t="s">
        <v>110</v>
      </c>
      <c r="B70" s="27">
        <v>1307163.63</v>
      </c>
      <c r="C70" s="27">
        <v>510170.67000000004</v>
      </c>
      <c r="D70" s="27">
        <v>510170.67</v>
      </c>
      <c r="E70" s="25">
        <f t="shared" si="0"/>
        <v>39.028829925447056</v>
      </c>
      <c r="F70" s="25">
        <v>30188.97</v>
      </c>
      <c r="G70" s="93">
        <v>414604.6</v>
      </c>
      <c r="H70" s="25">
        <f t="shared" si="1"/>
        <v>123.04992998148117</v>
      </c>
      <c r="I70" s="33">
        <f>D70-Апрель!D70</f>
        <v>148043.57999999996</v>
      </c>
    </row>
    <row r="71" spans="1:9" ht="12.75" customHeight="1">
      <c r="A71" s="2" t="s">
        <v>122</v>
      </c>
      <c r="B71" s="27">
        <v>61098.84</v>
      </c>
      <c r="C71" s="27">
        <v>23846.15</v>
      </c>
      <c r="D71" s="27">
        <v>23846.15</v>
      </c>
      <c r="E71" s="25">
        <f t="shared" si="0"/>
        <v>39.028809712262955</v>
      </c>
      <c r="F71" s="25">
        <v>0</v>
      </c>
      <c r="G71" s="97">
        <v>15155.4</v>
      </c>
      <c r="H71" s="25" t="s">
        <v>148</v>
      </c>
      <c r="I71" s="33">
        <f>D71-Апрель!D71</f>
        <v>10247.300000000001</v>
      </c>
    </row>
    <row r="72" spans="1:9" ht="12.75" customHeight="1">
      <c r="A72" s="54" t="s">
        <v>113</v>
      </c>
      <c r="B72" s="26">
        <v>0</v>
      </c>
      <c r="C72" s="26">
        <v>0</v>
      </c>
      <c r="D72" s="26">
        <v>0</v>
      </c>
      <c r="E72" s="26">
        <v>0</v>
      </c>
      <c r="F72" s="26">
        <v>0</v>
      </c>
      <c r="G72" s="93">
        <v>0</v>
      </c>
      <c r="H72" s="25" t="s">
        <v>148</v>
      </c>
      <c r="I72" s="33">
        <f>D72-Апрель!D72</f>
        <v>0</v>
      </c>
    </row>
    <row r="73" spans="1:13" ht="25.5">
      <c r="A73" s="54" t="s">
        <v>21</v>
      </c>
      <c r="B73" s="27">
        <v>-8380.25</v>
      </c>
      <c r="C73" s="27">
        <v>-8380.239999999998</v>
      </c>
      <c r="D73" s="27">
        <v>-9750.06</v>
      </c>
      <c r="E73" s="26">
        <f t="shared" si="0"/>
        <v>116.34569374422003</v>
      </c>
      <c r="F73" s="26">
        <v>-2269.2</v>
      </c>
      <c r="G73" s="77">
        <v>-18372.9</v>
      </c>
      <c r="H73" s="25">
        <f t="shared" si="1"/>
        <v>45.611961094873415</v>
      </c>
      <c r="I73" s="33">
        <f>D73-Апрель!D73</f>
        <v>-1369.8099999999995</v>
      </c>
      <c r="K73" s="98"/>
      <c r="L73" s="98"/>
      <c r="M73" s="98"/>
    </row>
    <row r="74" spans="1:9" ht="12.75">
      <c r="A74" s="47" t="s">
        <v>20</v>
      </c>
      <c r="B74" s="26">
        <f>B65+B66</f>
        <v>4372285.41</v>
      </c>
      <c r="C74" s="26">
        <f>C65+C66</f>
        <v>1310466.91</v>
      </c>
      <c r="D74" s="26">
        <f>D65+D66</f>
        <v>1326396.7599999998</v>
      </c>
      <c r="E74" s="25">
        <f>D74/B74*100</f>
        <v>30.33646332799669</v>
      </c>
      <c r="F74" s="25">
        <v>71521.66</v>
      </c>
      <c r="G74" s="33">
        <v>989323.2</v>
      </c>
      <c r="H74" s="25">
        <f>C74/G74*100</f>
        <v>132.4609500717258</v>
      </c>
      <c r="I74" s="33">
        <f>D74-Апрель!D74</f>
        <v>289724.7799999998</v>
      </c>
    </row>
    <row r="75" spans="1:9" ht="12.75" hidden="1">
      <c r="A75" s="54"/>
      <c r="B75" s="61"/>
      <c r="C75" s="61"/>
      <c r="D75" s="61"/>
      <c r="E75" s="45"/>
      <c r="F75" s="45"/>
      <c r="G75" s="61"/>
      <c r="H75" s="45"/>
      <c r="I75" s="61"/>
    </row>
    <row r="76" spans="1:9" ht="12.75" hidden="1">
      <c r="A76" s="54"/>
      <c r="B76" s="56"/>
      <c r="C76" s="56"/>
      <c r="D76" s="56"/>
      <c r="E76" s="45"/>
      <c r="F76" s="45"/>
      <c r="G76" s="56"/>
      <c r="H76" s="45"/>
      <c r="I76" s="56"/>
    </row>
    <row r="77" spans="1:9" ht="12.75" hidden="1">
      <c r="A77" s="47"/>
      <c r="B77" s="57"/>
      <c r="C77" s="57"/>
      <c r="D77" s="57"/>
      <c r="E77" s="45"/>
      <c r="F77" s="45"/>
      <c r="G77" s="57"/>
      <c r="H77" s="45"/>
      <c r="I77" s="57"/>
    </row>
    <row r="78" spans="1:9" ht="12.75" hidden="1">
      <c r="A78" s="89"/>
      <c r="B78" s="33"/>
      <c r="C78" s="33"/>
      <c r="D78" s="33"/>
      <c r="E78" s="25"/>
      <c r="F78" s="25"/>
      <c r="G78" s="33"/>
      <c r="H78" s="25"/>
      <c r="I78" s="33"/>
    </row>
    <row r="79" spans="1:9" ht="12.75">
      <c r="A79" s="115" t="s">
        <v>22</v>
      </c>
      <c r="B79" s="115"/>
      <c r="C79" s="115"/>
      <c r="D79" s="115"/>
      <c r="E79" s="115"/>
      <c r="F79" s="115"/>
      <c r="G79" s="115"/>
      <c r="H79" s="115"/>
      <c r="I79" s="115"/>
    </row>
    <row r="80" spans="1:9" ht="12.75">
      <c r="A80" s="7" t="s">
        <v>23</v>
      </c>
      <c r="B80" s="33">
        <f>B81+B82+B83+B84+B85+B86+B87+B88</f>
        <v>635441.5</v>
      </c>
      <c r="C80" s="33">
        <f>C81+C82+C83+C84+C85+C86+C87+C88</f>
        <v>134870.44</v>
      </c>
      <c r="D80" s="33">
        <f>D81+D82+D83+D84+D85+D86+D87+D88</f>
        <v>131331.84</v>
      </c>
      <c r="E80" s="25">
        <f>$D:$D/$B:$B*100</f>
        <v>20.667809703961733</v>
      </c>
      <c r="F80" s="25">
        <f>$D:$D/$C:$C*100</f>
        <v>97.37629683717202</v>
      </c>
      <c r="G80" s="80">
        <f>G81+G82+G83+G84+G85+G86+G87+G88</f>
        <v>51038.9</v>
      </c>
      <c r="H80" s="25">
        <f>$D:$D/$G:$G*100</f>
        <v>257.317144374193</v>
      </c>
      <c r="I80" s="33">
        <f>D80-Апрель!D80</f>
        <v>37084.58</v>
      </c>
    </row>
    <row r="81" spans="1:9" ht="14.25" customHeight="1">
      <c r="A81" s="8" t="s">
        <v>24</v>
      </c>
      <c r="B81" s="27">
        <v>3197.2</v>
      </c>
      <c r="C81" s="27">
        <v>1432.6</v>
      </c>
      <c r="D81" s="27">
        <v>1272.6</v>
      </c>
      <c r="E81" s="28">
        <f>$D:$D/$B:$B*100</f>
        <v>39.8035781308645</v>
      </c>
      <c r="F81" s="28">
        <v>0</v>
      </c>
      <c r="G81" s="66">
        <v>847.6</v>
      </c>
      <c r="H81" s="28">
        <v>0</v>
      </c>
      <c r="I81" s="33">
        <f>D81-Апрель!D81</f>
        <v>109.73000000000002</v>
      </c>
    </row>
    <row r="82" spans="1:9" ht="12.75">
      <c r="A82" s="8" t="s">
        <v>25</v>
      </c>
      <c r="B82" s="27">
        <v>7698.8</v>
      </c>
      <c r="C82" s="27">
        <v>2948.1</v>
      </c>
      <c r="D82" s="27">
        <v>2641.8</v>
      </c>
      <c r="E82" s="28">
        <f>$D:$D/$B:$B*100</f>
        <v>34.31443861380995</v>
      </c>
      <c r="F82" s="28">
        <f>$D:$D/$C:$C*100</f>
        <v>89.6102574539534</v>
      </c>
      <c r="G82" s="66">
        <v>2370.6</v>
      </c>
      <c r="H82" s="28">
        <f>$D:$D/$G:$G*100</f>
        <v>111.44014173626931</v>
      </c>
      <c r="I82" s="33">
        <f>D82-Апрель!D82</f>
        <v>306.8900000000003</v>
      </c>
    </row>
    <row r="83" spans="1:9" ht="25.5">
      <c r="A83" s="8" t="s">
        <v>26</v>
      </c>
      <c r="B83" s="27">
        <v>70545.8</v>
      </c>
      <c r="C83" s="27">
        <v>28364.9</v>
      </c>
      <c r="D83" s="27">
        <v>26084.8</v>
      </c>
      <c r="E83" s="28">
        <f>$D:$D/$B:$B*100</f>
        <v>36.97569522211102</v>
      </c>
      <c r="F83" s="28">
        <f>$D:$D/$C:$C*100</f>
        <v>91.96154402095547</v>
      </c>
      <c r="G83" s="66">
        <v>22339.9</v>
      </c>
      <c r="H83" s="28">
        <f>$D:$D/$G:$G*100</f>
        <v>116.76328005049261</v>
      </c>
      <c r="I83" s="33">
        <f>D83-Апрель!D83</f>
        <v>3618.380000000001</v>
      </c>
    </row>
    <row r="84" spans="1:9" ht="12.75">
      <c r="A84" s="8" t="s">
        <v>72</v>
      </c>
      <c r="B84" s="27">
        <v>4</v>
      </c>
      <c r="C84" s="27">
        <v>3.84</v>
      </c>
      <c r="D84" s="27">
        <v>3.84</v>
      </c>
      <c r="E84" s="28">
        <v>0</v>
      </c>
      <c r="F84" s="28">
        <v>0</v>
      </c>
      <c r="G84" s="66">
        <v>170</v>
      </c>
      <c r="H84" s="28">
        <v>0</v>
      </c>
      <c r="I84" s="33">
        <f>D84-Апрель!D84</f>
        <v>0</v>
      </c>
    </row>
    <row r="85" spans="1:9" ht="25.5">
      <c r="A85" s="1" t="s">
        <v>27</v>
      </c>
      <c r="B85" s="27">
        <v>18122.5</v>
      </c>
      <c r="C85" s="27">
        <v>6879.7</v>
      </c>
      <c r="D85" s="27">
        <v>6271.8</v>
      </c>
      <c r="E85" s="28">
        <f>$D:$D/$B:$B*100</f>
        <v>34.60780797351359</v>
      </c>
      <c r="F85" s="28">
        <v>0</v>
      </c>
      <c r="G85" s="66">
        <v>6011.2</v>
      </c>
      <c r="H85" s="28">
        <f>$D:$D/$G:$G*100</f>
        <v>104.3352408836838</v>
      </c>
      <c r="I85" s="33">
        <f>D85-Апрель!D85</f>
        <v>1008.75</v>
      </c>
    </row>
    <row r="86" spans="1:9" ht="12.75" hidden="1">
      <c r="A86" s="8" t="s">
        <v>28</v>
      </c>
      <c r="B86" s="27">
        <v>0</v>
      </c>
      <c r="C86" s="27">
        <v>0</v>
      </c>
      <c r="D86" s="27">
        <v>0</v>
      </c>
      <c r="E86" s="28">
        <v>0</v>
      </c>
      <c r="F86" s="28">
        <v>0</v>
      </c>
      <c r="G86" s="66">
        <v>0</v>
      </c>
      <c r="H86" s="28">
        <v>0</v>
      </c>
      <c r="I86" s="33">
        <f>D86-Апрель!D86</f>
        <v>0</v>
      </c>
    </row>
    <row r="87" spans="1:9" ht="12.75">
      <c r="A87" s="8" t="s">
        <v>29</v>
      </c>
      <c r="B87" s="27">
        <v>27541.6</v>
      </c>
      <c r="C87" s="27">
        <v>0</v>
      </c>
      <c r="D87" s="27">
        <v>0</v>
      </c>
      <c r="E87" s="28">
        <f>$D:$D/$B:$B*100</f>
        <v>0</v>
      </c>
      <c r="F87" s="28">
        <v>0</v>
      </c>
      <c r="G87" s="66">
        <v>0</v>
      </c>
      <c r="H87" s="28">
        <v>0</v>
      </c>
      <c r="I87" s="33">
        <f>D87-Апрель!D87</f>
        <v>0</v>
      </c>
    </row>
    <row r="88" spans="1:9" ht="12.75">
      <c r="A88" s="1" t="s">
        <v>30</v>
      </c>
      <c r="B88" s="27">
        <v>508331.6</v>
      </c>
      <c r="C88" s="27">
        <v>95241.3</v>
      </c>
      <c r="D88" s="27">
        <v>95057</v>
      </c>
      <c r="E88" s="28">
        <f>$D:$D/$B:$B*100</f>
        <v>18.699801468175497</v>
      </c>
      <c r="F88" s="28">
        <f>$D:$D/$C:$C*100</f>
        <v>99.80649151156064</v>
      </c>
      <c r="G88" s="66">
        <v>19299.6</v>
      </c>
      <c r="H88" s="28">
        <f>$D:$D/$G:$G*100</f>
        <v>492.5335240108604</v>
      </c>
      <c r="I88" s="33">
        <f>D88-Апрель!D88</f>
        <v>32040.83</v>
      </c>
    </row>
    <row r="89" spans="1:9" ht="12.75">
      <c r="A89" s="7" t="s">
        <v>31</v>
      </c>
      <c r="B89" s="26">
        <v>527.7</v>
      </c>
      <c r="C89" s="26">
        <v>243.8</v>
      </c>
      <c r="D89" s="26">
        <v>243.8</v>
      </c>
      <c r="E89" s="25">
        <f>$D:$D/$B:$B*100</f>
        <v>46.20049270418799</v>
      </c>
      <c r="F89" s="25">
        <f>$D:$D/$C:$C*100</f>
        <v>100</v>
      </c>
      <c r="G89" s="101">
        <v>136.4</v>
      </c>
      <c r="H89" s="25">
        <v>0</v>
      </c>
      <c r="I89" s="33">
        <f>D89-Апрель!D89</f>
        <v>16.960000000000008</v>
      </c>
    </row>
    <row r="90" spans="1:9" ht="25.5">
      <c r="A90" s="9" t="s">
        <v>32</v>
      </c>
      <c r="B90" s="26">
        <v>11961.3</v>
      </c>
      <c r="C90" s="26">
        <v>5144.9</v>
      </c>
      <c r="D90" s="26">
        <v>5006.5</v>
      </c>
      <c r="E90" s="25">
        <f>$D:$D/$B:$B*100</f>
        <v>41.855818347504034</v>
      </c>
      <c r="F90" s="25">
        <f>$D:$D/$C:$C*100</f>
        <v>97.309957433575</v>
      </c>
      <c r="G90" s="101">
        <v>2109</v>
      </c>
      <c r="H90" s="25">
        <f>$D:$D/$G:$G*100</f>
        <v>237.38738738738738</v>
      </c>
      <c r="I90" s="33">
        <f>D90-Апрель!D90</f>
        <v>591.2700000000004</v>
      </c>
    </row>
    <row r="91" spans="1:9" ht="12.75">
      <c r="A91" s="7" t="s">
        <v>33</v>
      </c>
      <c r="B91" s="33">
        <f aca="true" t="shared" si="2" ref="B91:H91">B92+B93+B94+B95</f>
        <v>593033.2000000001</v>
      </c>
      <c r="C91" s="33">
        <f t="shared" si="2"/>
        <v>55477.1</v>
      </c>
      <c r="D91" s="33">
        <f t="shared" si="2"/>
        <v>54690.5</v>
      </c>
      <c r="E91" s="33">
        <f t="shared" si="2"/>
        <v>59.858655626114086</v>
      </c>
      <c r="F91" s="33">
        <f t="shared" si="2"/>
        <v>190.47630578492385</v>
      </c>
      <c r="G91" s="80">
        <f>G92+G93+G94+G95+G96</f>
        <v>23826.9</v>
      </c>
      <c r="H91" s="33">
        <f t="shared" si="2"/>
        <v>72.32185198447645</v>
      </c>
      <c r="I91" s="33">
        <f>D91-Апрель!D91</f>
        <v>11110.75</v>
      </c>
    </row>
    <row r="92" spans="1:9" ht="12.75" customHeight="1">
      <c r="A92" s="10" t="s">
        <v>64</v>
      </c>
      <c r="B92" s="27">
        <v>13452.3</v>
      </c>
      <c r="C92" s="27">
        <v>16.5</v>
      </c>
      <c r="D92" s="27">
        <v>16.5</v>
      </c>
      <c r="E92" s="28">
        <v>0</v>
      </c>
      <c r="F92" s="28">
        <v>0</v>
      </c>
      <c r="G92" s="93"/>
      <c r="H92" s="28">
        <v>0</v>
      </c>
      <c r="I92" s="33">
        <f>D92-Апрель!D92</f>
        <v>-0.030000000000001137</v>
      </c>
    </row>
    <row r="93" spans="1:9" ht="12.75">
      <c r="A93" s="10" t="s">
        <v>67</v>
      </c>
      <c r="B93" s="27">
        <v>29101</v>
      </c>
      <c r="C93" s="27">
        <v>9531</v>
      </c>
      <c r="D93" s="27">
        <v>9531</v>
      </c>
      <c r="E93" s="28">
        <f>$D:$D/$B:$B*100</f>
        <v>32.75145184014295</v>
      </c>
      <c r="F93" s="28">
        <v>0</v>
      </c>
      <c r="G93" s="66">
        <v>0</v>
      </c>
      <c r="H93" s="28">
        <v>0</v>
      </c>
      <c r="I93" s="33">
        <f>D93-Апрель!D93</f>
        <v>2382.74</v>
      </c>
    </row>
    <row r="94" spans="1:9" ht="12.75">
      <c r="A94" s="8" t="s">
        <v>34</v>
      </c>
      <c r="B94" s="27">
        <v>512660.6</v>
      </c>
      <c r="C94" s="27">
        <v>37670.2</v>
      </c>
      <c r="D94" s="27">
        <v>37670.2</v>
      </c>
      <c r="E94" s="28">
        <f>$D:$D/$B:$B*100</f>
        <v>7.347980320703405</v>
      </c>
      <c r="F94" s="28">
        <f>$D:$D/$C:$C*100</f>
        <v>100</v>
      </c>
      <c r="G94" s="66">
        <v>9163.3</v>
      </c>
      <c r="H94" s="28">
        <v>0</v>
      </c>
      <c r="I94" s="33">
        <f>D94-Апрель!D94</f>
        <v>5615.919999999998</v>
      </c>
    </row>
    <row r="95" spans="1:9" ht="12.75">
      <c r="A95" s="10" t="s">
        <v>77</v>
      </c>
      <c r="B95" s="27">
        <v>37819.3</v>
      </c>
      <c r="C95" s="27">
        <v>8259.4</v>
      </c>
      <c r="D95" s="27">
        <v>7472.8</v>
      </c>
      <c r="E95" s="28">
        <f>$D:$D/$B:$B*100</f>
        <v>19.759223465267734</v>
      </c>
      <c r="F95" s="28">
        <f>$D:$D/$C:$C*100</f>
        <v>90.47630578492385</v>
      </c>
      <c r="G95" s="66">
        <v>10332.7</v>
      </c>
      <c r="H95" s="28">
        <f>$D:$D/$G:$G*100</f>
        <v>72.32185198447645</v>
      </c>
      <c r="I95" s="33">
        <f>D95-Апрель!D95</f>
        <v>3112.12</v>
      </c>
    </row>
    <row r="96" spans="1:9" ht="12.75">
      <c r="A96" s="8" t="s">
        <v>35</v>
      </c>
      <c r="B96" s="27"/>
      <c r="C96" s="27"/>
      <c r="D96" s="27"/>
      <c r="E96" s="28"/>
      <c r="F96" s="28"/>
      <c r="G96" s="66">
        <v>4330.9</v>
      </c>
      <c r="H96" s="28"/>
      <c r="I96" s="33"/>
    </row>
    <row r="97" spans="1:9" ht="12.75">
      <c r="A97" s="7" t="s">
        <v>36</v>
      </c>
      <c r="B97" s="33">
        <f>B99+B100+B101+B98</f>
        <v>495382.9</v>
      </c>
      <c r="C97" s="26">
        <f>C99+C100+C101+C98</f>
        <v>61653.7</v>
      </c>
      <c r="D97" s="33">
        <f>D99+D100+D101+D98</f>
        <v>60493.2</v>
      </c>
      <c r="E97" s="33">
        <f>E100+E101+E98</f>
        <v>30.811833377938434</v>
      </c>
      <c r="F97" s="25">
        <f>$D:$D/$C:$C*100</f>
        <v>98.11771231896869</v>
      </c>
      <c r="G97" s="80">
        <f>G99+G100+G101+G98</f>
        <v>41653.4</v>
      </c>
      <c r="H97" s="28">
        <f>$D:$D/$G:$G*100</f>
        <v>145.22992120691228</v>
      </c>
      <c r="I97" s="33">
        <f>D97-Апрель!D96</f>
        <v>16918.819999999992</v>
      </c>
    </row>
    <row r="98" spans="1:9" ht="12.75">
      <c r="A98" s="8" t="s">
        <v>37</v>
      </c>
      <c r="B98" s="27">
        <v>87067</v>
      </c>
      <c r="C98" s="27">
        <v>5630</v>
      </c>
      <c r="D98" s="27">
        <v>5630</v>
      </c>
      <c r="E98" s="43">
        <v>0</v>
      </c>
      <c r="F98" s="28">
        <v>0</v>
      </c>
      <c r="G98" s="66">
        <v>0</v>
      </c>
      <c r="H98" s="28">
        <v>0</v>
      </c>
      <c r="I98" s="33">
        <f>D98-Апрель!D97</f>
        <v>79.97999999999956</v>
      </c>
    </row>
    <row r="99" spans="1:9" ht="12.75">
      <c r="A99" s="8" t="s">
        <v>38</v>
      </c>
      <c r="B99" s="27">
        <v>3889.7</v>
      </c>
      <c r="C99" s="27">
        <v>52.6</v>
      </c>
      <c r="D99" s="27">
        <v>52.6</v>
      </c>
      <c r="E99" s="28">
        <f aca="true" t="shared" si="3" ref="E99:E104">$D:$D/$B:$B*100</f>
        <v>1.3522893796436743</v>
      </c>
      <c r="F99" s="28">
        <v>0</v>
      </c>
      <c r="G99" s="66">
        <v>123.2</v>
      </c>
      <c r="H99" s="28">
        <v>0</v>
      </c>
      <c r="I99" s="33">
        <f>D99-Апрель!D98</f>
        <v>52.6</v>
      </c>
    </row>
    <row r="100" spans="1:9" ht="12.75">
      <c r="A100" s="8" t="s">
        <v>39</v>
      </c>
      <c r="B100" s="27">
        <v>296050.3</v>
      </c>
      <c r="C100" s="27">
        <v>33786.3</v>
      </c>
      <c r="D100" s="27">
        <v>33786.2</v>
      </c>
      <c r="E100" s="28">
        <f t="shared" si="3"/>
        <v>11.412317433895524</v>
      </c>
      <c r="F100" s="28">
        <f>$D:$D/$C:$C*100</f>
        <v>99.99970402204443</v>
      </c>
      <c r="G100" s="66">
        <v>14461.6</v>
      </c>
      <c r="H100" s="28">
        <v>0</v>
      </c>
      <c r="I100" s="33">
        <f>D100-Апрель!D99</f>
        <v>4887.829999999998</v>
      </c>
    </row>
    <row r="101" spans="2:9" ht="12.75">
      <c r="B101" s="27">
        <v>108375.9</v>
      </c>
      <c r="C101" s="27">
        <v>22184.8</v>
      </c>
      <c r="D101" s="27">
        <v>21024.4</v>
      </c>
      <c r="E101" s="28">
        <f t="shared" si="3"/>
        <v>19.39951594404291</v>
      </c>
      <c r="F101" s="28">
        <f>$D:$D/$C:$C*100</f>
        <v>94.76939165554795</v>
      </c>
      <c r="G101" s="66">
        <v>27068.6</v>
      </c>
      <c r="H101" s="28">
        <f>$D:$D/$G:$G*100</f>
        <v>77.67080676503404</v>
      </c>
      <c r="I101" s="33">
        <f>D101-Апрель!D100</f>
        <v>11898.410000000002</v>
      </c>
    </row>
    <row r="102" spans="1:9" ht="12.75">
      <c r="A102" s="11" t="s">
        <v>115</v>
      </c>
      <c r="B102" s="33">
        <f>B103+B104</f>
        <v>14100.3</v>
      </c>
      <c r="C102" s="33">
        <f>C103+C104</f>
        <v>1066.8</v>
      </c>
      <c r="D102" s="33">
        <f>D103+D104</f>
        <v>1066.8</v>
      </c>
      <c r="E102" s="25">
        <f t="shared" si="3"/>
        <v>7.56579647241548</v>
      </c>
      <c r="F102" s="25"/>
      <c r="G102" s="80">
        <f>G103+G104</f>
        <v>409.8</v>
      </c>
      <c r="H102" s="25">
        <f>$D:$D/$G:$G*100</f>
        <v>260.3221083455344</v>
      </c>
      <c r="I102" s="33">
        <f>D102-Апрель!D101</f>
        <v>74.79999999999995</v>
      </c>
    </row>
    <row r="103" spans="1:9" ht="25.5">
      <c r="A103" s="39" t="s">
        <v>143</v>
      </c>
      <c r="B103" s="27">
        <v>2094</v>
      </c>
      <c r="C103" s="27">
        <v>1066.8</v>
      </c>
      <c r="D103" s="27">
        <v>1066.8</v>
      </c>
      <c r="E103" s="28">
        <f t="shared" si="3"/>
        <v>50.94555873925501</v>
      </c>
      <c r="F103" s="28"/>
      <c r="G103" s="66">
        <v>409.8</v>
      </c>
      <c r="H103" s="28">
        <v>0</v>
      </c>
      <c r="I103" s="33">
        <f>D103-Апрель!D102</f>
        <v>74.79999999999995</v>
      </c>
    </row>
    <row r="104" spans="1:9" ht="25.5">
      <c r="A104" s="8" t="s">
        <v>165</v>
      </c>
      <c r="B104" s="27">
        <v>12006.3</v>
      </c>
      <c r="C104" s="27">
        <v>0</v>
      </c>
      <c r="D104" s="27">
        <v>0</v>
      </c>
      <c r="E104" s="28">
        <f t="shared" si="3"/>
        <v>0</v>
      </c>
      <c r="F104" s="28"/>
      <c r="G104" s="66">
        <v>0</v>
      </c>
      <c r="H104" s="28">
        <v>0</v>
      </c>
      <c r="I104" s="33">
        <f>D104-Апрель!D103</f>
        <v>0</v>
      </c>
    </row>
    <row r="105" spans="1:9" ht="12.75">
      <c r="A105" s="11" t="s">
        <v>41</v>
      </c>
      <c r="B105" s="33">
        <f>B106+B107+B109+B110+B111+B108</f>
        <v>1914794.7600000002</v>
      </c>
      <c r="C105" s="33">
        <f>C106+C107+C109+C110+C111+C108</f>
        <v>753886.0999999999</v>
      </c>
      <c r="D105" s="33">
        <f>D106+D107+D109+D110+D111+D108</f>
        <v>753145.2999999999</v>
      </c>
      <c r="E105" s="33">
        <f>E106+E107+E110+E111+E109</f>
        <v>157.42093425557985</v>
      </c>
      <c r="F105" s="33">
        <f>F106+F107+F110+F111+F109</f>
        <v>499.5939687732241</v>
      </c>
      <c r="G105" s="80">
        <f>G106+G107+G109+G110+G111+G108</f>
        <v>637975.7000000001</v>
      </c>
      <c r="H105" s="33">
        <f>H106+H107+H110+H111+H109</f>
        <v>426.1038545828191</v>
      </c>
      <c r="I105" s="33">
        <f>D105-Апрель!D104</f>
        <v>213157.93999999983</v>
      </c>
    </row>
    <row r="106" spans="1:9" ht="12.75">
      <c r="A106" s="8" t="s">
        <v>42</v>
      </c>
      <c r="B106" s="27">
        <v>727750.4</v>
      </c>
      <c r="C106" s="27">
        <v>307341.8</v>
      </c>
      <c r="D106" s="27">
        <v>307341.8</v>
      </c>
      <c r="E106" s="28">
        <f aca="true" t="shared" si="4" ref="E106:E116">$D:$D/$B:$B*100</f>
        <v>42.231759680242014</v>
      </c>
      <c r="F106" s="28">
        <f aca="true" t="shared" si="5" ref="F106:F114">$D:$D/$C:$C*100</f>
        <v>100</v>
      </c>
      <c r="G106" s="66">
        <v>255680.9</v>
      </c>
      <c r="H106" s="28">
        <f>$D:$D/$G:$G*100</f>
        <v>120.20522455920641</v>
      </c>
      <c r="I106" s="33">
        <f>D106-Апрель!D105</f>
        <v>91236.06999999998</v>
      </c>
    </row>
    <row r="107" spans="1:9" ht="12.75">
      <c r="A107" s="8" t="s">
        <v>43</v>
      </c>
      <c r="B107" s="27">
        <v>783610.2</v>
      </c>
      <c r="C107" s="27">
        <v>307476.8</v>
      </c>
      <c r="D107" s="27">
        <v>306902.5</v>
      </c>
      <c r="E107" s="28">
        <f t="shared" si="4"/>
        <v>39.1651997383393</v>
      </c>
      <c r="F107" s="28">
        <f t="shared" si="5"/>
        <v>99.813221680465</v>
      </c>
      <c r="G107" s="66">
        <v>255535.7</v>
      </c>
      <c r="H107" s="28">
        <f>$D:$D/$G:$G*100</f>
        <v>120.10161398192112</v>
      </c>
      <c r="I107" s="33">
        <f>D107-Апрель!D106</f>
        <v>86131.82999999999</v>
      </c>
    </row>
    <row r="108" spans="1:9" ht="12.75">
      <c r="A108" s="21" t="s">
        <v>105</v>
      </c>
      <c r="B108" s="27">
        <v>152342.3</v>
      </c>
      <c r="C108" s="27">
        <v>56427.9</v>
      </c>
      <c r="D108" s="27">
        <v>56427.9</v>
      </c>
      <c r="E108" s="28">
        <f t="shared" si="4"/>
        <v>37.040204854462615</v>
      </c>
      <c r="F108" s="28">
        <f t="shared" si="5"/>
        <v>100</v>
      </c>
      <c r="G108" s="66">
        <v>52886.3</v>
      </c>
      <c r="H108" s="28">
        <f>$D:$D/$G:$G*100</f>
        <v>106.69663031824876</v>
      </c>
      <c r="I108" s="33">
        <f>D108-Апрель!D107</f>
        <v>15773.779999999999</v>
      </c>
    </row>
    <row r="109" spans="1:9" ht="25.5">
      <c r="A109" s="8" t="s">
        <v>123</v>
      </c>
      <c r="B109" s="27">
        <v>374.76</v>
      </c>
      <c r="C109" s="27">
        <v>57.2</v>
      </c>
      <c r="D109" s="27">
        <v>57.2</v>
      </c>
      <c r="E109" s="28">
        <f t="shared" si="4"/>
        <v>15.26310171843313</v>
      </c>
      <c r="F109" s="28">
        <f t="shared" si="5"/>
        <v>100</v>
      </c>
      <c r="G109" s="66">
        <v>196.4</v>
      </c>
      <c r="H109" s="28">
        <v>0</v>
      </c>
      <c r="I109" s="33">
        <f>D109-Апрель!D108</f>
        <v>6</v>
      </c>
    </row>
    <row r="110" spans="1:9" ht="12.75">
      <c r="A110" s="8" t="s">
        <v>44</v>
      </c>
      <c r="B110" s="27">
        <v>24342.6</v>
      </c>
      <c r="C110" s="27">
        <v>6642.7</v>
      </c>
      <c r="D110" s="27">
        <v>6642.7</v>
      </c>
      <c r="E110" s="28">
        <f t="shared" si="4"/>
        <v>27.28837511194367</v>
      </c>
      <c r="F110" s="28">
        <f t="shared" si="5"/>
        <v>100</v>
      </c>
      <c r="G110" s="66">
        <v>9922.8</v>
      </c>
      <c r="H110" s="28">
        <f>$D:$D/$G:$G*100</f>
        <v>66.94380618373846</v>
      </c>
      <c r="I110" s="33">
        <f>D110-Апрель!D109</f>
        <v>1778.7699999999995</v>
      </c>
    </row>
    <row r="111" spans="1:9" ht="12.75">
      <c r="A111" s="8" t="s">
        <v>45</v>
      </c>
      <c r="B111" s="27">
        <v>226374.5</v>
      </c>
      <c r="C111" s="27">
        <v>75939.7</v>
      </c>
      <c r="D111" s="27">
        <v>75773.2</v>
      </c>
      <c r="E111" s="28">
        <f t="shared" si="4"/>
        <v>33.47249800662177</v>
      </c>
      <c r="F111" s="28">
        <f t="shared" si="5"/>
        <v>99.78074709275913</v>
      </c>
      <c r="G111" s="66">
        <v>63753.6</v>
      </c>
      <c r="H111" s="28">
        <f>$D:$D/$G:$G*100</f>
        <v>118.85320985795312</v>
      </c>
      <c r="I111" s="33">
        <f>D111-Апрель!D110</f>
        <v>18231.489999999998</v>
      </c>
    </row>
    <row r="112" spans="1:9" ht="25.5">
      <c r="A112" s="11" t="s">
        <v>46</v>
      </c>
      <c r="B112" s="33">
        <f>B113+B114</f>
        <v>346883.80000000005</v>
      </c>
      <c r="C112" s="33">
        <f>C113+C114</f>
        <v>98752.7</v>
      </c>
      <c r="D112" s="33">
        <f>D113+D114</f>
        <v>98741</v>
      </c>
      <c r="E112" s="25">
        <f t="shared" si="4"/>
        <v>28.465151730925452</v>
      </c>
      <c r="F112" s="25">
        <f t="shared" si="5"/>
        <v>99.9881522226734</v>
      </c>
      <c r="G112" s="80">
        <f>G113+G114</f>
        <v>57681.6</v>
      </c>
      <c r="H112" s="25">
        <f>$D:$D/$G:$G*100</f>
        <v>171.18283820143685</v>
      </c>
      <c r="I112" s="33">
        <f>D112-Апрель!D111</f>
        <v>22206.259999999995</v>
      </c>
    </row>
    <row r="113" spans="1:9" ht="12.75">
      <c r="A113" s="8" t="s">
        <v>47</v>
      </c>
      <c r="B113" s="27">
        <v>221274.2</v>
      </c>
      <c r="C113" s="27">
        <v>75737</v>
      </c>
      <c r="D113" s="27">
        <v>75737</v>
      </c>
      <c r="E113" s="28">
        <f t="shared" si="4"/>
        <v>34.22766865725873</v>
      </c>
      <c r="F113" s="28">
        <f t="shared" si="5"/>
        <v>100</v>
      </c>
      <c r="G113" s="66">
        <v>56479.1</v>
      </c>
      <c r="H113" s="28">
        <f>$D:$D/$G:$G*100</f>
        <v>134.09739177855172</v>
      </c>
      <c r="I113" s="33">
        <f>D113-Апрель!D112</f>
        <v>17705.92</v>
      </c>
    </row>
    <row r="114" spans="1:9" ht="25.5">
      <c r="A114" s="8" t="s">
        <v>48</v>
      </c>
      <c r="B114" s="27">
        <v>125609.6</v>
      </c>
      <c r="C114" s="27">
        <v>23015.7</v>
      </c>
      <c r="D114" s="27">
        <v>23004</v>
      </c>
      <c r="E114" s="28">
        <f t="shared" si="4"/>
        <v>18.313886836674904</v>
      </c>
      <c r="F114" s="28">
        <f t="shared" si="5"/>
        <v>99.94916513510343</v>
      </c>
      <c r="G114" s="66">
        <v>1202.5</v>
      </c>
      <c r="H114" s="28">
        <v>0</v>
      </c>
      <c r="I114" s="33">
        <f>D114-Апрель!D113</f>
        <v>4500.34</v>
      </c>
    </row>
    <row r="115" spans="1:9" ht="12.75">
      <c r="A115" s="11" t="s">
        <v>97</v>
      </c>
      <c r="B115" s="33">
        <f>B116</f>
        <v>163.45</v>
      </c>
      <c r="C115" s="33">
        <f>C116</f>
        <v>127</v>
      </c>
      <c r="D115" s="33">
        <f>D116</f>
        <v>127</v>
      </c>
      <c r="E115" s="25">
        <f t="shared" si="4"/>
        <v>77.69960232487</v>
      </c>
      <c r="F115" s="25">
        <v>0</v>
      </c>
      <c r="G115" s="80">
        <f>G116</f>
        <v>158.1</v>
      </c>
      <c r="H115" s="25">
        <v>0</v>
      </c>
      <c r="I115" s="33">
        <f>D115-Апрель!D114</f>
        <v>127</v>
      </c>
    </row>
    <row r="116" spans="1:9" ht="12.75">
      <c r="A116" s="8" t="s">
        <v>98</v>
      </c>
      <c r="B116" s="27">
        <v>163.45</v>
      </c>
      <c r="C116" s="27">
        <v>127</v>
      </c>
      <c r="D116" s="27">
        <v>127</v>
      </c>
      <c r="E116" s="28">
        <f t="shared" si="4"/>
        <v>77.69960232487</v>
      </c>
      <c r="F116" s="28">
        <v>0</v>
      </c>
      <c r="G116" s="93">
        <v>158.1</v>
      </c>
      <c r="H116" s="28">
        <v>0</v>
      </c>
      <c r="I116" s="33">
        <f>D116-Апрель!D115</f>
        <v>127</v>
      </c>
    </row>
    <row r="117" spans="1:9" ht="12.75">
      <c r="A117" s="11" t="s">
        <v>49</v>
      </c>
      <c r="B117" s="33">
        <f>B118+B119+B120+B121</f>
        <v>169852.58</v>
      </c>
      <c r="C117" s="33">
        <f>C118+C119+C120+C121</f>
        <v>55217.5</v>
      </c>
      <c r="D117" s="33">
        <f>D118+D119+D120+D121</f>
        <v>55086.899999999994</v>
      </c>
      <c r="E117" s="33">
        <f>E118+E119+E120+E121</f>
        <v>114.19627869965237</v>
      </c>
      <c r="F117" s="33">
        <f>F118+F119+F120+F121</f>
        <v>186.49930587690886</v>
      </c>
      <c r="G117" s="80">
        <f>G118+G119+G120+G121+G122</f>
        <v>36265.4</v>
      </c>
      <c r="H117" s="25">
        <v>0</v>
      </c>
      <c r="I117" s="33">
        <f>D117-Апрель!D116</f>
        <v>17670.46</v>
      </c>
    </row>
    <row r="118" spans="1:9" ht="12.75">
      <c r="A118" s="8" t="s">
        <v>50</v>
      </c>
      <c r="B118" s="27">
        <v>3025.38</v>
      </c>
      <c r="C118" s="27">
        <v>754.6</v>
      </c>
      <c r="D118" s="27">
        <v>754.6</v>
      </c>
      <c r="E118" s="28">
        <f>$D:$D/$B:$B*100</f>
        <v>24.942321295176143</v>
      </c>
      <c r="F118" s="28">
        <v>0</v>
      </c>
      <c r="G118" s="66">
        <v>866.9</v>
      </c>
      <c r="H118" s="28">
        <v>0</v>
      </c>
      <c r="I118" s="33">
        <f>D118-Апрель!D117</f>
        <v>188.67000000000007</v>
      </c>
    </row>
    <row r="119" spans="1:9" ht="12.75">
      <c r="A119" s="8" t="s">
        <v>51</v>
      </c>
      <c r="B119" s="27">
        <v>106259.5</v>
      </c>
      <c r="C119" s="27">
        <v>41728.9</v>
      </c>
      <c r="D119" s="27">
        <v>41728.9</v>
      </c>
      <c r="E119" s="28">
        <f>$D:$D/$B:$B*100</f>
        <v>39.27074755668905</v>
      </c>
      <c r="F119" s="28">
        <f>$D:$D/$C:$C*100</f>
        <v>100</v>
      </c>
      <c r="G119" s="66">
        <v>0</v>
      </c>
      <c r="H119" s="28">
        <v>0</v>
      </c>
      <c r="I119" s="33">
        <f>D119-Апрель!D118</f>
        <v>10482.010000000002</v>
      </c>
    </row>
    <row r="120" spans="1:9" ht="12.75">
      <c r="A120" s="8" t="s">
        <v>52</v>
      </c>
      <c r="B120" s="27">
        <v>58037.9</v>
      </c>
      <c r="C120" s="27">
        <v>11869.6</v>
      </c>
      <c r="D120" s="27">
        <v>11855.7</v>
      </c>
      <c r="E120" s="28">
        <f>$D:$D/$B:$B*100</f>
        <v>20.427513745328486</v>
      </c>
      <c r="F120" s="28">
        <v>0</v>
      </c>
      <c r="G120" s="66">
        <v>31122.3</v>
      </c>
      <c r="H120" s="28">
        <v>0</v>
      </c>
      <c r="I120" s="33">
        <f>D120-Апрель!D119</f>
        <v>6880.920000000001</v>
      </c>
    </row>
    <row r="121" spans="1:9" ht="12.75">
      <c r="A121" s="8" t="s">
        <v>53</v>
      </c>
      <c r="B121" s="27">
        <v>2529.8</v>
      </c>
      <c r="C121" s="27">
        <v>864.4</v>
      </c>
      <c r="D121" s="27">
        <v>747.7</v>
      </c>
      <c r="E121" s="28">
        <f>$D:$D/$B:$B*100</f>
        <v>29.55569610245869</v>
      </c>
      <c r="F121" s="28">
        <f>$D:$D/$C:$C*100</f>
        <v>86.49930587690885</v>
      </c>
      <c r="G121" s="66">
        <v>3544.2</v>
      </c>
      <c r="H121" s="28">
        <f>$D:$D/$G:$G*100</f>
        <v>21.096439252863835</v>
      </c>
      <c r="I121" s="33">
        <f>D121-Апрель!D120</f>
        <v>118.86000000000001</v>
      </c>
    </row>
    <row r="122" spans="1:9" ht="12.75">
      <c r="A122" s="8" t="s">
        <v>54</v>
      </c>
      <c r="B122" s="27"/>
      <c r="C122" s="27"/>
      <c r="D122" s="27"/>
      <c r="E122" s="28"/>
      <c r="F122" s="28"/>
      <c r="G122" s="66">
        <v>732</v>
      </c>
      <c r="H122" s="28"/>
      <c r="I122" s="33"/>
    </row>
    <row r="123" spans="1:9" ht="12.75">
      <c r="A123" s="11" t="s">
        <v>61</v>
      </c>
      <c r="B123" s="26">
        <f>B124+B125+B126</f>
        <v>361142.8</v>
      </c>
      <c r="C123" s="26">
        <f>C124+C125+C126</f>
        <v>85234.4</v>
      </c>
      <c r="D123" s="26">
        <f>D124+D125+D126</f>
        <v>85130.79999999999</v>
      </c>
      <c r="E123" s="25">
        <f>$D:$D/$B:$B*100</f>
        <v>23.572614489337735</v>
      </c>
      <c r="F123" s="25">
        <f>$D:$D/$C:$C*100</f>
        <v>99.87845283125122</v>
      </c>
      <c r="G123" s="77">
        <f>G124+G125+G126</f>
        <v>95665.4</v>
      </c>
      <c r="H123" s="25">
        <f>$D:$D/$G:$G*100</f>
        <v>88.98807719405343</v>
      </c>
      <c r="I123" s="33">
        <f>D123-Апрель!D121</f>
        <v>24363.80999999999</v>
      </c>
    </row>
    <row r="124" spans="1:9" ht="12.75">
      <c r="A124" s="39" t="s">
        <v>62</v>
      </c>
      <c r="B124" s="27">
        <v>294545.2</v>
      </c>
      <c r="C124" s="27">
        <v>61558.7</v>
      </c>
      <c r="D124" s="27">
        <v>61558.7</v>
      </c>
      <c r="E124" s="28">
        <f>$D:$D/$B:$B*100</f>
        <v>20.899576703337893</v>
      </c>
      <c r="F124" s="28">
        <f>$D:$D/$C:$C*100</f>
        <v>100</v>
      </c>
      <c r="G124" s="66">
        <v>32831.2</v>
      </c>
      <c r="H124" s="28">
        <v>0</v>
      </c>
      <c r="I124" s="33">
        <f>D124-Апрель!D122</f>
        <v>18706.03</v>
      </c>
    </row>
    <row r="125" spans="1:9" ht="24.75" customHeight="1">
      <c r="A125" s="12" t="s">
        <v>63</v>
      </c>
      <c r="B125" s="27">
        <v>61418.6</v>
      </c>
      <c r="C125" s="27">
        <v>21801.6</v>
      </c>
      <c r="D125" s="27">
        <v>21801.6</v>
      </c>
      <c r="E125" s="28">
        <v>0</v>
      </c>
      <c r="F125" s="28">
        <v>0</v>
      </c>
      <c r="G125" s="66">
        <v>61202.1</v>
      </c>
      <c r="H125" s="28">
        <v>0</v>
      </c>
      <c r="I125" s="33">
        <f>D125-Апрель!D123</f>
        <v>5363.279999999999</v>
      </c>
    </row>
    <row r="126" spans="1:9" ht="25.5">
      <c r="A126" s="12" t="s">
        <v>73</v>
      </c>
      <c r="B126" s="27">
        <v>5179</v>
      </c>
      <c r="C126" s="27">
        <v>1874.1</v>
      </c>
      <c r="D126" s="27">
        <v>1770.5</v>
      </c>
      <c r="E126" s="28">
        <f>$D:$D/$B:$B*100</f>
        <v>34.18613631975285</v>
      </c>
      <c r="F126" s="28">
        <f>$D:$D/$C:$C*100</f>
        <v>94.47201323301852</v>
      </c>
      <c r="G126" s="66">
        <v>1632.1</v>
      </c>
      <c r="H126" s="28">
        <v>0</v>
      </c>
      <c r="I126" s="33">
        <f>D126-Апрель!D124</f>
        <v>294.5</v>
      </c>
    </row>
    <row r="127" spans="1:9" s="99" customFormat="1" ht="26.25" customHeight="1">
      <c r="A127" s="13" t="s">
        <v>80</v>
      </c>
      <c r="B127" s="26">
        <v>5.8</v>
      </c>
      <c r="C127" s="26">
        <v>5.75</v>
      </c>
      <c r="D127" s="26">
        <v>5.75</v>
      </c>
      <c r="E127" s="25">
        <f>$D:$D/$B:$B*100</f>
        <v>99.13793103448276</v>
      </c>
      <c r="F127" s="25">
        <v>0</v>
      </c>
      <c r="G127" s="66">
        <v>2.01384</v>
      </c>
      <c r="H127" s="25">
        <v>0</v>
      </c>
      <c r="I127" s="33">
        <f>D127-Апрель!D125</f>
        <v>0</v>
      </c>
    </row>
    <row r="128" spans="1:9" ht="13.5" customHeight="1">
      <c r="A128" s="12" t="s">
        <v>81</v>
      </c>
      <c r="B128" s="27">
        <v>5.8</v>
      </c>
      <c r="C128" s="27">
        <v>5.75</v>
      </c>
      <c r="D128" s="27">
        <v>5.75</v>
      </c>
      <c r="E128" s="28">
        <f>$D:$D/$B:$B*100</f>
        <v>99.13793103448276</v>
      </c>
      <c r="F128" s="28">
        <v>0</v>
      </c>
      <c r="G128" s="93">
        <f>2013.84/1000</f>
        <v>2.01384</v>
      </c>
      <c r="H128" s="28">
        <v>0</v>
      </c>
      <c r="I128" s="33">
        <f>D128-Апрель!D126</f>
        <v>0</v>
      </c>
    </row>
    <row r="129" spans="1:9" ht="15.75" customHeight="1">
      <c r="A129" s="14" t="s">
        <v>55</v>
      </c>
      <c r="B129" s="33">
        <f>B80+B89+B90+B91+B97+B105+B112+B115+B117+B123+B127+B102</f>
        <v>4543290.09</v>
      </c>
      <c r="C129" s="33">
        <f>C80+C89+C90+C91+C97+C105+C112+C115+C117+C123+C127+C102</f>
        <v>1251680.1899999997</v>
      </c>
      <c r="D129" s="33">
        <f>D80+D89+D90+D91+D97+D105+D112+D115+D117+D123+D127+D102</f>
        <v>1245069.39</v>
      </c>
      <c r="E129" s="25">
        <f>$D:$D/$B:$B*100</f>
        <v>27.404576096526554</v>
      </c>
      <c r="F129" s="25">
        <f>$D:$D/$C:$C*100</f>
        <v>99.47184591936382</v>
      </c>
      <c r="G129" s="80">
        <f>G80+G89+G90+G91+G97+G105+G112+G115+G117+G123+G127+G102</f>
        <v>946922.6138400001</v>
      </c>
      <c r="H129" s="25">
        <f>$D:$D/$G:$G*100</f>
        <v>131.4858650329347</v>
      </c>
      <c r="I129" s="33">
        <f>D129-Апрель!D127</f>
        <v>343322.6499999999</v>
      </c>
    </row>
    <row r="130" spans="1:9" ht="26.25" customHeight="1">
      <c r="A130" s="79" t="s">
        <v>56</v>
      </c>
      <c r="B130" s="80">
        <f>B74-B129</f>
        <v>-171004.6799999997</v>
      </c>
      <c r="C130" s="80">
        <f>C74-C129</f>
        <v>58786.720000000205</v>
      </c>
      <c r="D130" s="80">
        <f>D74-D129</f>
        <v>81327.36999999988</v>
      </c>
      <c r="E130" s="80"/>
      <c r="F130" s="80"/>
      <c r="G130" s="80">
        <f>G74-G129</f>
        <v>42400.58615999983</v>
      </c>
      <c r="H130" s="80"/>
      <c r="I130" s="33">
        <f>D130-Апрель!D128</f>
        <v>-53597.87000000011</v>
      </c>
    </row>
    <row r="131" spans="1:9" ht="24" customHeight="1">
      <c r="A131" s="1" t="s">
        <v>57</v>
      </c>
      <c r="B131" s="27" t="s">
        <v>159</v>
      </c>
      <c r="C131" s="27"/>
      <c r="D131" s="27" t="s">
        <v>175</v>
      </c>
      <c r="E131" s="27"/>
      <c r="F131" s="27"/>
      <c r="G131" s="80">
        <f>G74-G130</f>
        <v>946922.6138400001</v>
      </c>
      <c r="H131" s="26"/>
      <c r="I131" s="33"/>
    </row>
    <row r="132" spans="1:9" ht="12.75">
      <c r="A132" s="3" t="s">
        <v>58</v>
      </c>
      <c r="B132" s="77">
        <f>B134+B135</f>
        <v>99223.6</v>
      </c>
      <c r="C132" s="77">
        <f>C134+C135</f>
        <v>0</v>
      </c>
      <c r="D132" s="77">
        <f>D134+D135</f>
        <v>145551</v>
      </c>
      <c r="E132" s="77"/>
      <c r="F132" s="77">
        <f>F134+F135</f>
        <v>0</v>
      </c>
      <c r="G132" s="80">
        <f>G74-G131</f>
        <v>42400.58615999983</v>
      </c>
      <c r="H132" s="77"/>
      <c r="I132" s="33">
        <f>D132-Апрель!D130</f>
        <v>-71934.54000000001</v>
      </c>
    </row>
    <row r="133" spans="1:9" ht="12" customHeight="1">
      <c r="A133" s="1" t="s">
        <v>6</v>
      </c>
      <c r="B133" s="78"/>
      <c r="C133" s="27"/>
      <c r="D133" s="27"/>
      <c r="E133" s="27"/>
      <c r="F133" s="27"/>
      <c r="G133" s="33"/>
      <c r="H133" s="35"/>
      <c r="I133" s="33"/>
    </row>
    <row r="134" spans="1:9" ht="12.75">
      <c r="A134" s="5" t="s">
        <v>59</v>
      </c>
      <c r="B134" s="78">
        <v>53815.7</v>
      </c>
      <c r="C134" s="27"/>
      <c r="D134" s="27">
        <f>145551-102215</f>
        <v>43336</v>
      </c>
      <c r="E134" s="27"/>
      <c r="F134" s="27"/>
      <c r="G134" s="33">
        <v>42776.3</v>
      </c>
      <c r="H134" s="35"/>
      <c r="I134" s="33">
        <f>D134-Апрель!D132</f>
        <v>-79041.72</v>
      </c>
    </row>
    <row r="135" spans="1:9" ht="12.75">
      <c r="A135" s="1" t="s">
        <v>60</v>
      </c>
      <c r="B135" s="78">
        <f>99223.6-B134</f>
        <v>45407.90000000001</v>
      </c>
      <c r="C135" s="27"/>
      <c r="D135" s="27">
        <v>102215</v>
      </c>
      <c r="E135" s="27"/>
      <c r="F135" s="27"/>
      <c r="G135" s="33">
        <v>30446.1</v>
      </c>
      <c r="H135" s="35"/>
      <c r="I135" s="33">
        <f>D135-Апрель!D133</f>
        <v>7107.179999999993</v>
      </c>
    </row>
    <row r="136" spans="1:9" ht="12.75">
      <c r="A136" s="3" t="s">
        <v>99</v>
      </c>
      <c r="B136" s="26">
        <f>B137-B138</f>
        <v>22950</v>
      </c>
      <c r="C136" s="26">
        <f>C137-C138</f>
        <v>-35000</v>
      </c>
      <c r="D136" s="26">
        <f>D137-D138</f>
        <v>-35000</v>
      </c>
      <c r="E136" s="26"/>
      <c r="F136" s="26">
        <f>F137-F138</f>
        <v>0</v>
      </c>
      <c r="G136" s="33">
        <v>-12050</v>
      </c>
      <c r="H136" s="26"/>
      <c r="I136" s="33">
        <f>D136-Апрель!D134</f>
        <v>0</v>
      </c>
    </row>
    <row r="137" spans="1:9" ht="12.75">
      <c r="A137" s="2" t="s">
        <v>100</v>
      </c>
      <c r="B137" s="27">
        <v>35000</v>
      </c>
      <c r="C137" s="27">
        <v>0</v>
      </c>
      <c r="D137" s="27">
        <v>0</v>
      </c>
      <c r="E137" s="36"/>
      <c r="F137" s="36"/>
      <c r="G137" s="33">
        <v>0</v>
      </c>
      <c r="H137" s="37"/>
      <c r="I137" s="33">
        <f>D137-Апрель!D135</f>
        <v>0</v>
      </c>
    </row>
    <row r="138" spans="1:9" ht="12.75">
      <c r="A138" s="2" t="s">
        <v>101</v>
      </c>
      <c r="B138" s="27">
        <v>12050</v>
      </c>
      <c r="C138" s="27">
        <v>35000</v>
      </c>
      <c r="D138" s="27">
        <v>35000</v>
      </c>
      <c r="E138" s="36"/>
      <c r="F138" s="36"/>
      <c r="G138" s="33">
        <v>12050</v>
      </c>
      <c r="H138" s="37"/>
      <c r="I138" s="33">
        <f>D138-Апрель!D136</f>
        <v>0</v>
      </c>
    </row>
    <row r="139" spans="1:9" ht="12.75">
      <c r="A139" s="15"/>
      <c r="B139" s="24"/>
      <c r="C139" s="24"/>
      <c r="D139" s="24"/>
      <c r="E139" s="24"/>
      <c r="F139" s="24"/>
      <c r="G139" s="84"/>
      <c r="H139" s="24"/>
      <c r="I139" s="24"/>
    </row>
    <row r="141" ht="12" customHeight="1">
      <c r="A141" s="21" t="s">
        <v>79</v>
      </c>
    </row>
    <row r="142" ht="12.75" customHeight="1" hidden="1"/>
    <row r="144" spans="1:9" ht="25.5">
      <c r="A144" s="15" t="s">
        <v>103</v>
      </c>
      <c r="B144" s="24"/>
      <c r="C144" s="24"/>
      <c r="D144" s="24" t="s">
        <v>137</v>
      </c>
      <c r="E144" s="24"/>
      <c r="F144" s="24"/>
      <c r="G144" s="84"/>
      <c r="H144" s="24"/>
      <c r="I144" s="24"/>
    </row>
  </sheetData>
  <sheetProtection/>
  <mergeCells count="5">
    <mergeCell ref="A1:H1"/>
    <mergeCell ref="A2:H2"/>
    <mergeCell ref="A3:H3"/>
    <mergeCell ref="A6:I6"/>
    <mergeCell ref="A79:I79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6"/>
  <sheetViews>
    <sheetView zoomScalePageLayoutView="0" workbookViewId="0" topLeftCell="A1">
      <pane xSplit="1" ySplit="6" topLeftCell="B117" activePane="bottomRight" state="frozen"/>
      <selection pane="topLeft" activeCell="O118" sqref="O118"/>
      <selection pane="topRight" activeCell="O118" sqref="O118"/>
      <selection pane="bottomLeft" activeCell="O118" sqref="O118"/>
      <selection pane="bottomRight" activeCell="D138" sqref="D138"/>
    </sheetView>
  </sheetViews>
  <sheetFormatPr defaultColWidth="9.00390625" defaultRowHeight="12.75"/>
  <cols>
    <col min="1" max="1" width="44.875" style="21" customWidth="1"/>
    <col min="2" max="2" width="11.25390625" style="22" customWidth="1"/>
    <col min="3" max="3" width="13.125" style="22" customWidth="1"/>
    <col min="4" max="4" width="11.625" style="22" customWidth="1"/>
    <col min="5" max="5" width="12.75390625" style="22" customWidth="1"/>
    <col min="6" max="6" width="14.125" style="22" customWidth="1"/>
    <col min="7" max="7" width="12.00390625" style="22" customWidth="1"/>
    <col min="8" max="8" width="11.875" style="22" customWidth="1"/>
    <col min="9" max="9" width="10.00390625" style="22" customWidth="1"/>
    <col min="10" max="16384" width="9.125" style="21" customWidth="1"/>
  </cols>
  <sheetData>
    <row r="1" spans="1:9" ht="15">
      <c r="A1" s="105" t="s">
        <v>102</v>
      </c>
      <c r="B1" s="105"/>
      <c r="C1" s="105"/>
      <c r="D1" s="105"/>
      <c r="E1" s="105"/>
      <c r="F1" s="105"/>
      <c r="G1" s="105"/>
      <c r="H1" s="105"/>
      <c r="I1" s="29"/>
    </row>
    <row r="2" spans="1:9" ht="15">
      <c r="A2" s="106" t="s">
        <v>141</v>
      </c>
      <c r="B2" s="106"/>
      <c r="C2" s="106"/>
      <c r="D2" s="106"/>
      <c r="E2" s="106"/>
      <c r="F2" s="106"/>
      <c r="G2" s="106"/>
      <c r="H2" s="106"/>
      <c r="I2" s="30"/>
    </row>
    <row r="3" spans="1:9" ht="5.25" customHeight="1" hidden="1">
      <c r="A3" s="107" t="s">
        <v>0</v>
      </c>
      <c r="B3" s="107"/>
      <c r="C3" s="107"/>
      <c r="D3" s="107"/>
      <c r="E3" s="107"/>
      <c r="F3" s="107"/>
      <c r="G3" s="107"/>
      <c r="H3" s="107"/>
      <c r="I3" s="31"/>
    </row>
    <row r="4" spans="1:9" ht="45" customHeight="1">
      <c r="A4" s="4" t="s">
        <v>1</v>
      </c>
      <c r="B4" s="17" t="s">
        <v>2</v>
      </c>
      <c r="C4" s="17" t="s">
        <v>142</v>
      </c>
      <c r="D4" s="17" t="s">
        <v>68</v>
      </c>
      <c r="E4" s="17" t="s">
        <v>66</v>
      </c>
      <c r="F4" s="17" t="s">
        <v>69</v>
      </c>
      <c r="G4" s="17" t="s">
        <v>136</v>
      </c>
      <c r="H4" s="18" t="s">
        <v>65</v>
      </c>
      <c r="I4" s="17" t="s">
        <v>71</v>
      </c>
    </row>
    <row r="5" spans="1:9" ht="13.5" thickBot="1">
      <c r="A5" s="6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20">
        <v>8</v>
      </c>
      <c r="I5" s="32">
        <v>9</v>
      </c>
    </row>
    <row r="6" spans="1:9" ht="12.75">
      <c r="A6" s="116" t="s">
        <v>3</v>
      </c>
      <c r="B6" s="117"/>
      <c r="C6" s="117"/>
      <c r="D6" s="117"/>
      <c r="E6" s="117"/>
      <c r="F6" s="117"/>
      <c r="G6" s="117"/>
      <c r="H6" s="117"/>
      <c r="I6" s="118"/>
    </row>
    <row r="7" spans="1:9" ht="12.75">
      <c r="A7" s="46" t="s">
        <v>104</v>
      </c>
      <c r="B7" s="57">
        <f>B8+B15+B20+B24+B27+B31+B34+B43+B44+B45+B49</f>
        <v>442159.12999999995</v>
      </c>
      <c r="C7" s="57">
        <f>C8+C15+C20+C24+C27+C31+C34+C43+C44+C45+C49+C60</f>
        <v>155600.58000000002</v>
      </c>
      <c r="D7" s="57">
        <f>D8+D15+D20+D24+D27+D31+D34+D43+D44+D45+D49+D60</f>
        <v>154661.89</v>
      </c>
      <c r="E7" s="45">
        <f aca="true" t="shared" si="0" ref="E7:E30">$D:$D/$B:$B*100</f>
        <v>34.978784674196376</v>
      </c>
      <c r="F7" s="45">
        <f aca="true" t="shared" si="1" ref="F7:F29">$D:$D/$C:$C*100</f>
        <v>99.39673104046271</v>
      </c>
      <c r="G7" s="57">
        <f>G8+G15+G20+G24+G27+G31+G34+G43+G44+G45+G49+G60</f>
        <v>155699.99999999997</v>
      </c>
      <c r="H7" s="45">
        <f aca="true" t="shared" si="2" ref="H7:H28">$D:$D/$G:$G*100</f>
        <v>99.33326268465</v>
      </c>
      <c r="I7" s="57">
        <f>I8+I15+I20+I24+I27+I31+I34+I43+I44+I45+I49+I60</f>
        <v>24373.72</v>
      </c>
    </row>
    <row r="8" spans="1:9" ht="12.75">
      <c r="A8" s="47" t="s">
        <v>4</v>
      </c>
      <c r="B8" s="58">
        <f>B9+B10</f>
        <v>276033.23999999993</v>
      </c>
      <c r="C8" s="58">
        <f>C9+C10</f>
        <v>96839</v>
      </c>
      <c r="D8" s="58">
        <f>D9+D10</f>
        <v>99771.58</v>
      </c>
      <c r="E8" s="45">
        <f t="shared" si="0"/>
        <v>36.144770100876265</v>
      </c>
      <c r="F8" s="45">
        <f t="shared" si="1"/>
        <v>103.02830471194457</v>
      </c>
      <c r="G8" s="58">
        <f>G9+G10</f>
        <v>94000.92</v>
      </c>
      <c r="H8" s="45">
        <f t="shared" si="2"/>
        <v>106.13893991675826</v>
      </c>
      <c r="I8" s="58">
        <f>I9+I10</f>
        <v>17698.649999999998</v>
      </c>
    </row>
    <row r="9" spans="1:9" ht="25.5">
      <c r="A9" s="48" t="s">
        <v>5</v>
      </c>
      <c r="B9" s="56">
        <v>6017.6</v>
      </c>
      <c r="C9" s="56">
        <v>2599</v>
      </c>
      <c r="D9" s="56">
        <v>5598.77</v>
      </c>
      <c r="E9" s="45">
        <f t="shared" si="0"/>
        <v>93.03991624567935</v>
      </c>
      <c r="F9" s="45">
        <f t="shared" si="1"/>
        <v>215.42016160061564</v>
      </c>
      <c r="G9" s="56">
        <v>1085.12</v>
      </c>
      <c r="H9" s="45">
        <f t="shared" si="2"/>
        <v>515.9586036567385</v>
      </c>
      <c r="I9" s="56">
        <v>661.01</v>
      </c>
    </row>
    <row r="10" spans="1:9" ht="12.75" customHeight="1">
      <c r="A10" s="49" t="s">
        <v>70</v>
      </c>
      <c r="B10" s="60">
        <f>B11+B12+B13+B14</f>
        <v>270015.63999999996</v>
      </c>
      <c r="C10" s="60">
        <f>C11+C12+C13+C14</f>
        <v>94240</v>
      </c>
      <c r="D10" s="60">
        <f>D11+D12+D13+D14</f>
        <v>94172.81</v>
      </c>
      <c r="E10" s="50">
        <f t="shared" si="0"/>
        <v>34.87679824768669</v>
      </c>
      <c r="F10" s="45">
        <f t="shared" si="1"/>
        <v>99.9287033106961</v>
      </c>
      <c r="G10" s="60">
        <f>G11+G12+G13+G14</f>
        <v>92915.8</v>
      </c>
      <c r="H10" s="50">
        <f t="shared" si="2"/>
        <v>101.35284849293662</v>
      </c>
      <c r="I10" s="60">
        <f>I11+I12+I13+I14</f>
        <v>17037.64</v>
      </c>
    </row>
    <row r="11" spans="1:9" ht="12.75" customHeight="1">
      <c r="A11" s="51" t="s">
        <v>74</v>
      </c>
      <c r="B11" s="61">
        <v>258218.54</v>
      </c>
      <c r="C11" s="61">
        <v>92000</v>
      </c>
      <c r="D11" s="61">
        <v>91807.69</v>
      </c>
      <c r="E11" s="45">
        <f t="shared" si="0"/>
        <v>35.554259581825534</v>
      </c>
      <c r="F11" s="45">
        <f t="shared" si="1"/>
        <v>99.79096739130435</v>
      </c>
      <c r="G11" s="61">
        <v>90455.84999999999</v>
      </c>
      <c r="H11" s="45">
        <f t="shared" si="2"/>
        <v>101.49447492892942</v>
      </c>
      <c r="I11" s="61">
        <v>16542.63</v>
      </c>
    </row>
    <row r="12" spans="1:9" ht="12.75" customHeight="1">
      <c r="A12" s="51" t="s">
        <v>75</v>
      </c>
      <c r="B12" s="61">
        <v>4039.82</v>
      </c>
      <c r="C12" s="61">
        <v>210</v>
      </c>
      <c r="D12" s="61">
        <v>473.37</v>
      </c>
      <c r="E12" s="45">
        <f t="shared" si="0"/>
        <v>11.717601279264917</v>
      </c>
      <c r="F12" s="45">
        <f t="shared" si="1"/>
        <v>225.4142857142857</v>
      </c>
      <c r="G12" s="61">
        <v>257.14000000000004</v>
      </c>
      <c r="H12" s="45">
        <f t="shared" si="2"/>
        <v>184.09037878198643</v>
      </c>
      <c r="I12" s="61">
        <v>185.54</v>
      </c>
    </row>
    <row r="13" spans="1:9" ht="12.75" customHeight="1">
      <c r="A13" s="51" t="s">
        <v>76</v>
      </c>
      <c r="B13" s="61">
        <v>4853.42</v>
      </c>
      <c r="C13" s="61">
        <v>930</v>
      </c>
      <c r="D13" s="61">
        <v>345.40000000000003</v>
      </c>
      <c r="E13" s="45">
        <f t="shared" si="0"/>
        <v>7.116631159058974</v>
      </c>
      <c r="F13" s="45">
        <f t="shared" si="1"/>
        <v>37.13978494623657</v>
      </c>
      <c r="G13" s="61">
        <v>876.32</v>
      </c>
      <c r="H13" s="45">
        <f t="shared" si="2"/>
        <v>39.41482563447143</v>
      </c>
      <c r="I13" s="61">
        <v>-0.45</v>
      </c>
    </row>
    <row r="14" spans="1:9" ht="12.75" customHeight="1">
      <c r="A14" s="52" t="s">
        <v>78</v>
      </c>
      <c r="B14" s="61">
        <v>2903.86</v>
      </c>
      <c r="C14" s="61">
        <v>1100</v>
      </c>
      <c r="D14" s="61">
        <v>1546.35</v>
      </c>
      <c r="E14" s="45">
        <f t="shared" si="0"/>
        <v>53.25153416487021</v>
      </c>
      <c r="F14" s="45">
        <f t="shared" si="1"/>
        <v>140.5772727272727</v>
      </c>
      <c r="G14" s="61">
        <v>1326.49</v>
      </c>
      <c r="H14" s="45">
        <f t="shared" si="2"/>
        <v>116.57456897526555</v>
      </c>
      <c r="I14" s="61">
        <v>309.92</v>
      </c>
    </row>
    <row r="15" spans="1:9" ht="12.75" customHeight="1">
      <c r="A15" s="53" t="s">
        <v>82</v>
      </c>
      <c r="B15" s="57">
        <f>B16+B17+B18+B19</f>
        <v>23712</v>
      </c>
      <c r="C15" s="57">
        <f>C16+C17+C18+C19</f>
        <v>9276.46</v>
      </c>
      <c r="D15" s="57">
        <f>D16+D17+D18+D19</f>
        <v>8218.18</v>
      </c>
      <c r="E15" s="45">
        <f t="shared" si="0"/>
        <v>34.65831646423752</v>
      </c>
      <c r="F15" s="45">
        <f t="shared" si="1"/>
        <v>88.59176884285601</v>
      </c>
      <c r="G15" s="57">
        <f>G16+G17+G18+G19</f>
        <v>9224.9</v>
      </c>
      <c r="H15" s="45">
        <f t="shared" si="2"/>
        <v>89.08692777157476</v>
      </c>
      <c r="I15" s="57">
        <f>I16+I17+I18+I19</f>
        <v>1260.3600000000001</v>
      </c>
    </row>
    <row r="16" spans="1:9" ht="12.75" customHeight="1">
      <c r="A16" s="37" t="s">
        <v>83</v>
      </c>
      <c r="B16" s="61">
        <v>10865.8</v>
      </c>
      <c r="C16" s="68">
        <v>4167.41</v>
      </c>
      <c r="D16" s="68">
        <v>3865.11</v>
      </c>
      <c r="E16" s="45">
        <f t="shared" si="0"/>
        <v>35.57133391006645</v>
      </c>
      <c r="F16" s="45">
        <f t="shared" si="1"/>
        <v>92.74609409681314</v>
      </c>
      <c r="G16" s="61">
        <v>4167.41</v>
      </c>
      <c r="H16" s="45">
        <f t="shared" si="2"/>
        <v>92.74609409681314</v>
      </c>
      <c r="I16" s="69">
        <v>679.25</v>
      </c>
    </row>
    <row r="17" spans="1:9" ht="12.75" customHeight="1">
      <c r="A17" s="37" t="s">
        <v>84</v>
      </c>
      <c r="B17" s="61">
        <v>56</v>
      </c>
      <c r="C17" s="68">
        <v>25</v>
      </c>
      <c r="D17" s="68">
        <v>24.62</v>
      </c>
      <c r="E17" s="45">
        <f t="shared" si="0"/>
        <v>43.964285714285715</v>
      </c>
      <c r="F17" s="45">
        <f t="shared" si="1"/>
        <v>98.48</v>
      </c>
      <c r="G17" s="61">
        <v>31.309999999999995</v>
      </c>
      <c r="H17" s="45">
        <f t="shared" si="2"/>
        <v>78.63302459278188</v>
      </c>
      <c r="I17" s="69">
        <v>5.5</v>
      </c>
    </row>
    <row r="18" spans="1:9" ht="51">
      <c r="A18" s="37" t="s">
        <v>85</v>
      </c>
      <c r="B18" s="61">
        <v>14192.6</v>
      </c>
      <c r="C18" s="68">
        <v>5784.05</v>
      </c>
      <c r="D18" s="68">
        <v>5138.2699999999995</v>
      </c>
      <c r="E18" s="45">
        <f t="shared" si="0"/>
        <v>36.203866803827346</v>
      </c>
      <c r="F18" s="45">
        <f t="shared" si="1"/>
        <v>88.83515875554325</v>
      </c>
      <c r="G18" s="61">
        <v>5784.05</v>
      </c>
      <c r="H18" s="45">
        <f t="shared" si="2"/>
        <v>88.83515875554325</v>
      </c>
      <c r="I18" s="69">
        <v>757.7</v>
      </c>
    </row>
    <row r="19" spans="1:9" ht="51" customHeight="1">
      <c r="A19" s="37" t="s">
        <v>86</v>
      </c>
      <c r="B19" s="61">
        <v>-1402.4</v>
      </c>
      <c r="C19" s="68">
        <v>-700</v>
      </c>
      <c r="D19" s="68">
        <v>-809.82</v>
      </c>
      <c r="E19" s="45">
        <f t="shared" si="0"/>
        <v>57.74529378208785</v>
      </c>
      <c r="F19" s="45">
        <f t="shared" si="1"/>
        <v>115.68857142857144</v>
      </c>
      <c r="G19" s="61">
        <v>-757.87</v>
      </c>
      <c r="H19" s="45">
        <f t="shared" si="2"/>
        <v>106.85473761990842</v>
      </c>
      <c r="I19" s="69">
        <v>-182.09</v>
      </c>
    </row>
    <row r="20" spans="1:9" ht="12.75">
      <c r="A20" s="54" t="s">
        <v>7</v>
      </c>
      <c r="B20" s="57">
        <f>B21+B22+B23</f>
        <v>34616.2</v>
      </c>
      <c r="C20" s="57">
        <f>C21+C22+C23</f>
        <v>15612.05</v>
      </c>
      <c r="D20" s="57">
        <f>D21+D22+D23</f>
        <v>15310.310000000001</v>
      </c>
      <c r="E20" s="45">
        <f t="shared" si="0"/>
        <v>44.2287426118407</v>
      </c>
      <c r="F20" s="45">
        <f t="shared" si="1"/>
        <v>98.06726214686734</v>
      </c>
      <c r="G20" s="57">
        <f>G21+G22+G23</f>
        <v>15654.31</v>
      </c>
      <c r="H20" s="45">
        <f t="shared" si="2"/>
        <v>97.80252211691223</v>
      </c>
      <c r="I20" s="57">
        <f>I21+I22+I23</f>
        <v>1215.54</v>
      </c>
    </row>
    <row r="21" spans="1:9" ht="12.75">
      <c r="A21" s="51" t="s">
        <v>89</v>
      </c>
      <c r="B21" s="61">
        <v>32762</v>
      </c>
      <c r="C21" s="61">
        <v>14665.49</v>
      </c>
      <c r="D21" s="61">
        <v>14500.87</v>
      </c>
      <c r="E21" s="45">
        <f t="shared" si="0"/>
        <v>44.26124778707039</v>
      </c>
      <c r="F21" s="45">
        <f t="shared" si="1"/>
        <v>98.87750085404579</v>
      </c>
      <c r="G21" s="61">
        <v>14665.83</v>
      </c>
      <c r="H21" s="45">
        <f t="shared" si="2"/>
        <v>98.87520856303395</v>
      </c>
      <c r="I21" s="61">
        <v>776.63</v>
      </c>
    </row>
    <row r="22" spans="1:9" ht="15" customHeight="1">
      <c r="A22" s="51" t="s">
        <v>87</v>
      </c>
      <c r="B22" s="61">
        <v>895.2</v>
      </c>
      <c r="C22" s="61">
        <v>750</v>
      </c>
      <c r="D22" s="61">
        <v>552.66</v>
      </c>
      <c r="E22" s="45">
        <f t="shared" si="0"/>
        <v>61.73592493297586</v>
      </c>
      <c r="F22" s="45">
        <f t="shared" si="1"/>
        <v>73.688</v>
      </c>
      <c r="G22" s="61">
        <v>791.92</v>
      </c>
      <c r="H22" s="45">
        <f t="shared" si="2"/>
        <v>69.78735225780382</v>
      </c>
      <c r="I22" s="61">
        <v>427.49</v>
      </c>
    </row>
    <row r="23" spans="1:9" ht="28.5" customHeight="1">
      <c r="A23" s="51" t="s">
        <v>88</v>
      </c>
      <c r="B23" s="61">
        <v>959</v>
      </c>
      <c r="C23" s="61">
        <v>196.56</v>
      </c>
      <c r="D23" s="61">
        <v>256.78000000000003</v>
      </c>
      <c r="E23" s="45">
        <f t="shared" si="0"/>
        <v>26.775808133472367</v>
      </c>
      <c r="F23" s="45">
        <f t="shared" si="1"/>
        <v>130.63695563695566</v>
      </c>
      <c r="G23" s="61">
        <v>196.56</v>
      </c>
      <c r="H23" s="45">
        <f t="shared" si="2"/>
        <v>130.63695563695566</v>
      </c>
      <c r="I23" s="61">
        <v>11.42</v>
      </c>
    </row>
    <row r="24" spans="1:9" ht="15.75" customHeight="1">
      <c r="A24" s="54" t="s">
        <v>8</v>
      </c>
      <c r="B24" s="57">
        <f>SUM(B25:B26)</f>
        <v>36295.600000000006</v>
      </c>
      <c r="C24" s="57">
        <f>SUM(C25:C26)</f>
        <v>7002.26</v>
      </c>
      <c r="D24" s="57">
        <f>SUM(D25:D26)</f>
        <v>6411.37</v>
      </c>
      <c r="E24" s="45">
        <f t="shared" si="0"/>
        <v>17.664317437926357</v>
      </c>
      <c r="F24" s="45">
        <f t="shared" si="1"/>
        <v>91.56143873549397</v>
      </c>
      <c r="G24" s="57">
        <f>SUM(G25:G26)</f>
        <v>6713.71</v>
      </c>
      <c r="H24" s="45">
        <f t="shared" si="2"/>
        <v>95.49667769385333</v>
      </c>
      <c r="I24" s="57">
        <f>SUM(I25:I26)</f>
        <v>674.61</v>
      </c>
    </row>
    <row r="25" spans="1:9" ht="16.5" customHeight="1">
      <c r="A25" s="51" t="s">
        <v>106</v>
      </c>
      <c r="B25" s="61">
        <v>18923.7</v>
      </c>
      <c r="C25" s="61">
        <v>1900</v>
      </c>
      <c r="D25" s="61">
        <v>1890.08</v>
      </c>
      <c r="E25" s="45">
        <f t="shared" si="0"/>
        <v>9.987898772438793</v>
      </c>
      <c r="F25" s="45">
        <f t="shared" si="1"/>
        <v>99.4778947368421</v>
      </c>
      <c r="G25" s="61">
        <v>1611.45</v>
      </c>
      <c r="H25" s="45">
        <f t="shared" si="2"/>
        <v>117.29063886561792</v>
      </c>
      <c r="I25" s="61">
        <v>295.6</v>
      </c>
    </row>
    <row r="26" spans="1:9" ht="15.75" customHeight="1">
      <c r="A26" s="51" t="s">
        <v>107</v>
      </c>
      <c r="B26" s="61">
        <v>17371.9</v>
      </c>
      <c r="C26" s="61">
        <v>5102.26</v>
      </c>
      <c r="D26" s="61">
        <v>4521.29</v>
      </c>
      <c r="E26" s="45">
        <f t="shared" si="0"/>
        <v>26.02645651886092</v>
      </c>
      <c r="F26" s="45">
        <f t="shared" si="1"/>
        <v>88.61347716502098</v>
      </c>
      <c r="G26" s="61">
        <v>5102.26</v>
      </c>
      <c r="H26" s="45">
        <f t="shared" si="2"/>
        <v>88.61347716502098</v>
      </c>
      <c r="I26" s="61">
        <v>379.01</v>
      </c>
    </row>
    <row r="27" spans="1:9" ht="13.5" customHeight="1">
      <c r="A27" s="47" t="s">
        <v>9</v>
      </c>
      <c r="B27" s="57">
        <f>B28+B29+B30</f>
        <v>14814.9</v>
      </c>
      <c r="C27" s="57">
        <f>C28+C29+C30</f>
        <v>4844.2</v>
      </c>
      <c r="D27" s="57">
        <f>D28+D29+D30</f>
        <v>5109.990000000001</v>
      </c>
      <c r="E27" s="45">
        <f t="shared" si="0"/>
        <v>34.49223416965353</v>
      </c>
      <c r="F27" s="45">
        <f t="shared" si="1"/>
        <v>105.48676768093806</v>
      </c>
      <c r="G27" s="57">
        <f>G28+G29+G30</f>
        <v>5753.68</v>
      </c>
      <c r="H27" s="45">
        <f t="shared" si="2"/>
        <v>88.81255127153406</v>
      </c>
      <c r="I27" s="57">
        <f>I28+I29+I30</f>
        <v>857.5</v>
      </c>
    </row>
    <row r="28" spans="1:9" ht="25.5">
      <c r="A28" s="51" t="s">
        <v>10</v>
      </c>
      <c r="B28" s="61">
        <v>14680.1</v>
      </c>
      <c r="C28" s="61">
        <v>4800</v>
      </c>
      <c r="D28" s="61">
        <v>5072.39</v>
      </c>
      <c r="E28" s="45">
        <f t="shared" si="0"/>
        <v>34.55283002159386</v>
      </c>
      <c r="F28" s="45">
        <f t="shared" si="1"/>
        <v>105.67479166666666</v>
      </c>
      <c r="G28" s="61">
        <v>5722.68</v>
      </c>
      <c r="H28" s="45">
        <f t="shared" si="2"/>
        <v>88.6366178084394</v>
      </c>
      <c r="I28" s="61">
        <v>852.7</v>
      </c>
    </row>
    <row r="29" spans="1:9" ht="18.75" customHeight="1">
      <c r="A29" s="51" t="s">
        <v>91</v>
      </c>
      <c r="B29" s="61">
        <v>84.8</v>
      </c>
      <c r="C29" s="61">
        <v>29.2</v>
      </c>
      <c r="D29" s="61">
        <v>17.6</v>
      </c>
      <c r="E29" s="45">
        <f t="shared" si="0"/>
        <v>20.75471698113208</v>
      </c>
      <c r="F29" s="45">
        <f t="shared" si="1"/>
        <v>60.27397260273973</v>
      </c>
      <c r="G29" s="61">
        <v>16</v>
      </c>
      <c r="H29" s="45" t="s">
        <v>111</v>
      </c>
      <c r="I29" s="61">
        <v>4.8</v>
      </c>
    </row>
    <row r="30" spans="1:9" ht="26.25" customHeight="1">
      <c r="A30" s="51" t="s">
        <v>90</v>
      </c>
      <c r="B30" s="61">
        <v>50</v>
      </c>
      <c r="C30" s="61">
        <v>15</v>
      </c>
      <c r="D30" s="61">
        <v>20</v>
      </c>
      <c r="E30" s="45">
        <f t="shared" si="0"/>
        <v>40</v>
      </c>
      <c r="F30" s="45" t="s">
        <v>111</v>
      </c>
      <c r="G30" s="61">
        <v>15</v>
      </c>
      <c r="H30" s="45" t="s">
        <v>111</v>
      </c>
      <c r="I30" s="61">
        <v>0</v>
      </c>
    </row>
    <row r="31" spans="1:9" ht="15.75" customHeight="1">
      <c r="A31" s="54" t="s">
        <v>11</v>
      </c>
      <c r="B31" s="57">
        <f>B32+B33</f>
        <v>0</v>
      </c>
      <c r="C31" s="57">
        <f>C32+C33</f>
        <v>0</v>
      </c>
      <c r="D31" s="57">
        <f>D32+D33</f>
        <v>0.07</v>
      </c>
      <c r="E31" s="45" t="s">
        <v>111</v>
      </c>
      <c r="F31" s="45" t="s">
        <v>111</v>
      </c>
      <c r="G31" s="57">
        <f>G32+G33</f>
        <v>0.17</v>
      </c>
      <c r="H31" s="45" t="s">
        <v>111</v>
      </c>
      <c r="I31" s="57">
        <f>I32+I33</f>
        <v>0</v>
      </c>
    </row>
    <row r="32" spans="1:9" ht="25.5">
      <c r="A32" s="51" t="s">
        <v>116</v>
      </c>
      <c r="B32" s="61">
        <v>0</v>
      </c>
      <c r="C32" s="61">
        <v>0</v>
      </c>
      <c r="D32" s="61">
        <v>0</v>
      </c>
      <c r="E32" s="45" t="s">
        <v>111</v>
      </c>
      <c r="F32" s="45" t="s">
        <v>111</v>
      </c>
      <c r="G32" s="61">
        <v>0</v>
      </c>
      <c r="H32" s="45" t="s">
        <v>111</v>
      </c>
      <c r="I32" s="61">
        <v>0</v>
      </c>
    </row>
    <row r="33" spans="1:9" ht="25.5">
      <c r="A33" s="51" t="s">
        <v>92</v>
      </c>
      <c r="B33" s="61">
        <v>0</v>
      </c>
      <c r="C33" s="61">
        <v>0</v>
      </c>
      <c r="D33" s="61">
        <v>0.07</v>
      </c>
      <c r="E33" s="45" t="s">
        <v>111</v>
      </c>
      <c r="F33" s="45" t="s">
        <v>111</v>
      </c>
      <c r="G33" s="61">
        <v>0.17</v>
      </c>
      <c r="H33" s="45" t="s">
        <v>111</v>
      </c>
      <c r="I33" s="61">
        <v>0</v>
      </c>
    </row>
    <row r="34" spans="1:9" ht="38.25">
      <c r="A34" s="54" t="s">
        <v>12</v>
      </c>
      <c r="B34" s="57">
        <f>B35+B37+B38+B39+B41+B42+B36</f>
        <v>50872.7</v>
      </c>
      <c r="C34" s="59">
        <f>SUM(C35:C42)</f>
        <v>19138.39</v>
      </c>
      <c r="D34" s="59">
        <f>SUM(D35:D42)</f>
        <v>15677.65</v>
      </c>
      <c r="E34" s="45">
        <f>$D:$D/$B:$B*100</f>
        <v>30.817412875668087</v>
      </c>
      <c r="F34" s="45">
        <f aca="true" t="shared" si="3" ref="F34:F40">$D:$D/$C:$C*100</f>
        <v>81.9172877133343</v>
      </c>
      <c r="G34" s="59">
        <f>SUM(G35:G42)</f>
        <v>16642.579999999998</v>
      </c>
      <c r="H34" s="45">
        <f>$D:$D/$G:$G*100</f>
        <v>94.20204078934877</v>
      </c>
      <c r="I34" s="59">
        <f>SUM(I35:I42)</f>
        <v>1873.43</v>
      </c>
    </row>
    <row r="35" spans="1:9" ht="76.5" hidden="1">
      <c r="A35" s="51" t="s">
        <v>114</v>
      </c>
      <c r="B35" s="61"/>
      <c r="C35" s="61"/>
      <c r="D35" s="61"/>
      <c r="E35" s="45" t="s">
        <v>112</v>
      </c>
      <c r="F35" s="45" t="e">
        <f t="shared" si="3"/>
        <v>#DIV/0!</v>
      </c>
      <c r="G35" s="61"/>
      <c r="H35" s="45" t="e">
        <f>$D:$D/$G:$G*100</f>
        <v>#DIV/0!</v>
      </c>
      <c r="I35" s="61"/>
    </row>
    <row r="36" spans="1:9" ht="76.5">
      <c r="A36" s="51" t="s">
        <v>117</v>
      </c>
      <c r="B36" s="61">
        <v>26368</v>
      </c>
      <c r="C36" s="61">
        <v>8500</v>
      </c>
      <c r="D36" s="61">
        <v>8460.16</v>
      </c>
      <c r="E36" s="45">
        <f>$D:$D/$B:$B*100</f>
        <v>32.08495145631068</v>
      </c>
      <c r="F36" s="45">
        <f t="shared" si="3"/>
        <v>99.53129411764706</v>
      </c>
      <c r="G36" s="61">
        <v>8491.4</v>
      </c>
      <c r="H36" s="45">
        <f>$D:$D/$G:$G*100</f>
        <v>99.63209835833902</v>
      </c>
      <c r="I36" s="61">
        <v>895.23</v>
      </c>
    </row>
    <row r="37" spans="1:9" ht="76.5">
      <c r="A37" s="51" t="s">
        <v>125</v>
      </c>
      <c r="B37" s="61">
        <v>628</v>
      </c>
      <c r="C37" s="61">
        <v>261.49</v>
      </c>
      <c r="D37" s="61">
        <v>379.84</v>
      </c>
      <c r="E37" s="45">
        <f>$D:$D/$B:$B*100</f>
        <v>60.48407643312102</v>
      </c>
      <c r="F37" s="45">
        <f t="shared" si="3"/>
        <v>145.25985697349802</v>
      </c>
      <c r="G37" s="61">
        <v>0.14</v>
      </c>
      <c r="H37" s="45" t="s">
        <v>111</v>
      </c>
      <c r="I37" s="61">
        <v>77.81</v>
      </c>
    </row>
    <row r="38" spans="1:9" ht="76.5">
      <c r="A38" s="51" t="s">
        <v>118</v>
      </c>
      <c r="B38" s="61">
        <v>530.18</v>
      </c>
      <c r="C38" s="61">
        <v>220.9</v>
      </c>
      <c r="D38" s="61">
        <v>118.88999999999999</v>
      </c>
      <c r="E38" s="45">
        <f>$D:$D/$B:$B*100</f>
        <v>22.4244596174884</v>
      </c>
      <c r="F38" s="45">
        <f t="shared" si="3"/>
        <v>53.82073336351289</v>
      </c>
      <c r="G38" s="61">
        <v>124.07</v>
      </c>
      <c r="H38" s="45">
        <f>$D:$D/$G:$G*100</f>
        <v>95.82493753526235</v>
      </c>
      <c r="I38" s="61">
        <v>27.13</v>
      </c>
    </row>
    <row r="39" spans="1:9" ht="38.25">
      <c r="A39" s="51" t="s">
        <v>119</v>
      </c>
      <c r="B39" s="61">
        <v>19213.07</v>
      </c>
      <c r="C39" s="61">
        <v>8000</v>
      </c>
      <c r="D39" s="61">
        <v>4693.74</v>
      </c>
      <c r="E39" s="45">
        <f>$D:$D/$B:$B*100</f>
        <v>24.42993233252156</v>
      </c>
      <c r="F39" s="45">
        <f t="shared" si="3"/>
        <v>58.67175</v>
      </c>
      <c r="G39" s="61">
        <v>6230.32</v>
      </c>
      <c r="H39" s="45">
        <f>$D:$D/$G:$G*100</f>
        <v>75.33706133874344</v>
      </c>
      <c r="I39" s="61">
        <v>381.77</v>
      </c>
    </row>
    <row r="40" spans="1:9" ht="51">
      <c r="A40" s="51" t="s">
        <v>138</v>
      </c>
      <c r="B40" s="61"/>
      <c r="C40" s="61">
        <v>0</v>
      </c>
      <c r="D40" s="61">
        <v>7.01</v>
      </c>
      <c r="E40" s="45"/>
      <c r="F40" s="45" t="e">
        <f t="shared" si="3"/>
        <v>#DIV/0!</v>
      </c>
      <c r="G40" s="61"/>
      <c r="H40" s="45"/>
      <c r="I40" s="61">
        <v>0</v>
      </c>
    </row>
    <row r="41" spans="1:9" ht="51">
      <c r="A41" s="51" t="s">
        <v>120</v>
      </c>
      <c r="B41" s="61">
        <v>691</v>
      </c>
      <c r="C41" s="61">
        <v>691</v>
      </c>
      <c r="D41" s="61">
        <v>445.23</v>
      </c>
      <c r="E41" s="45">
        <f>$D:$D/$B:$B*100</f>
        <v>64.4327062228654</v>
      </c>
      <c r="F41" s="45" t="s">
        <v>111</v>
      </c>
      <c r="G41" s="61">
        <v>690.92</v>
      </c>
      <c r="H41" s="45" t="s">
        <v>111</v>
      </c>
      <c r="I41" s="61">
        <v>341.58</v>
      </c>
    </row>
    <row r="42" spans="1:9" ht="76.5">
      <c r="A42" s="55" t="s">
        <v>121</v>
      </c>
      <c r="B42" s="61">
        <v>3442.45</v>
      </c>
      <c r="C42" s="61">
        <v>1465</v>
      </c>
      <c r="D42" s="61">
        <v>1572.78</v>
      </c>
      <c r="E42" s="45">
        <f>$D:$D/$B:$B*100</f>
        <v>45.687809554241895</v>
      </c>
      <c r="F42" s="45">
        <f>$D:$D/$C:$C*100</f>
        <v>107.35699658703071</v>
      </c>
      <c r="G42" s="61">
        <v>1105.73</v>
      </c>
      <c r="H42" s="45">
        <f>$D:$D/$G:$G*100</f>
        <v>142.23906378591516</v>
      </c>
      <c r="I42" s="61">
        <v>149.91</v>
      </c>
    </row>
    <row r="43" spans="1:9" ht="29.25" customHeight="1">
      <c r="A43" s="48" t="s">
        <v>13</v>
      </c>
      <c r="B43" s="56">
        <v>515</v>
      </c>
      <c r="C43" s="56">
        <v>342.01</v>
      </c>
      <c r="D43" s="56">
        <v>160.64</v>
      </c>
      <c r="E43" s="45">
        <f>$D:$D/$B:$B*100</f>
        <v>31.192233009708737</v>
      </c>
      <c r="F43" s="45">
        <f>$D:$D/$C:$C*100</f>
        <v>46.96938686003333</v>
      </c>
      <c r="G43" s="56">
        <v>312.04</v>
      </c>
      <c r="H43" s="45">
        <f>$D:$D/$G:$G*100</f>
        <v>51.48057941289578</v>
      </c>
      <c r="I43" s="56">
        <v>-4.66</v>
      </c>
    </row>
    <row r="44" spans="1:9" ht="27" customHeight="1">
      <c r="A44" s="48" t="s">
        <v>96</v>
      </c>
      <c r="B44" s="56">
        <v>1829.19</v>
      </c>
      <c r="C44" s="56">
        <v>714.95</v>
      </c>
      <c r="D44" s="56">
        <v>1413.82</v>
      </c>
      <c r="E44" s="45">
        <f>$D:$D/$B:$B*100</f>
        <v>77.29213477003482</v>
      </c>
      <c r="F44" s="45">
        <f>$D:$D/$C:$C*100</f>
        <v>197.75089167074617</v>
      </c>
      <c r="G44" s="56">
        <v>1138.91</v>
      </c>
      <c r="H44" s="45">
        <f>$D:$D/$G:$G*100</f>
        <v>124.13799158844859</v>
      </c>
      <c r="I44" s="56">
        <v>123.99</v>
      </c>
    </row>
    <row r="45" spans="1:9" ht="25.5">
      <c r="A45" s="54" t="s">
        <v>14</v>
      </c>
      <c r="B45" s="57">
        <f>B46+B47+B48</f>
        <v>1497.5</v>
      </c>
      <c r="C45" s="57">
        <f>C46+C47+C48</f>
        <v>501</v>
      </c>
      <c r="D45" s="57">
        <f>D46+D47+D48</f>
        <v>1349.99</v>
      </c>
      <c r="E45" s="45">
        <f>$D:$D/$B:$B*100</f>
        <v>90.14958263772955</v>
      </c>
      <c r="F45" s="45">
        <f>$D:$D/$C:$C*100</f>
        <v>269.45908183632736</v>
      </c>
      <c r="G45" s="57">
        <f>G46+G47+G48</f>
        <v>1097.99</v>
      </c>
      <c r="H45" s="45">
        <f>$D:$D/$G:$G*100</f>
        <v>122.95102869789343</v>
      </c>
      <c r="I45" s="57">
        <f>I46+I47+I48</f>
        <v>588.46</v>
      </c>
    </row>
    <row r="46" spans="1:9" ht="12.75">
      <c r="A46" s="51" t="s">
        <v>94</v>
      </c>
      <c r="B46" s="61">
        <v>0</v>
      </c>
      <c r="C46" s="61">
        <v>0</v>
      </c>
      <c r="D46" s="61">
        <v>413.05</v>
      </c>
      <c r="E46" s="45" t="s">
        <v>111</v>
      </c>
      <c r="F46" s="45" t="s">
        <v>111</v>
      </c>
      <c r="G46" s="61">
        <v>0</v>
      </c>
      <c r="H46" s="45" t="s">
        <v>111</v>
      </c>
      <c r="I46" s="61">
        <v>413.05</v>
      </c>
    </row>
    <row r="47" spans="1:9" ht="76.5">
      <c r="A47" s="51" t="s">
        <v>95</v>
      </c>
      <c r="B47" s="61">
        <v>97.5</v>
      </c>
      <c r="C47" s="61">
        <v>61</v>
      </c>
      <c r="D47" s="61">
        <v>98.3</v>
      </c>
      <c r="E47" s="45" t="s">
        <v>112</v>
      </c>
      <c r="F47" s="45">
        <f aca="true" t="shared" si="4" ref="F47:F59">$D:$D/$C:$C*100</f>
        <v>161.14754098360655</v>
      </c>
      <c r="G47" s="61">
        <v>62.82</v>
      </c>
      <c r="H47" s="45">
        <f aca="true" t="shared" si="5" ref="H47:H52">$D:$D/$G:$G*100</f>
        <v>156.47882839859918</v>
      </c>
      <c r="I47" s="61">
        <v>24.38</v>
      </c>
    </row>
    <row r="48" spans="1:9" ht="12.75">
      <c r="A48" s="55" t="s">
        <v>93</v>
      </c>
      <c r="B48" s="61">
        <v>1400</v>
      </c>
      <c r="C48" s="61">
        <v>440</v>
      </c>
      <c r="D48" s="61">
        <v>838.64</v>
      </c>
      <c r="E48" s="45">
        <f aca="true" t="shared" si="6" ref="E48:E53">$D:$D/$B:$B*100</f>
        <v>59.902857142857144</v>
      </c>
      <c r="F48" s="45">
        <f t="shared" si="4"/>
        <v>190.6</v>
      </c>
      <c r="G48" s="61">
        <v>1035.17</v>
      </c>
      <c r="H48" s="45">
        <f t="shared" si="5"/>
        <v>81.01471255928978</v>
      </c>
      <c r="I48" s="61">
        <v>151.03</v>
      </c>
    </row>
    <row r="49" spans="1:9" ht="12.75">
      <c r="A49" s="48" t="s">
        <v>15</v>
      </c>
      <c r="B49" s="57">
        <v>1972.8</v>
      </c>
      <c r="C49" s="57">
        <v>1290.26</v>
      </c>
      <c r="D49" s="57">
        <v>1292.48</v>
      </c>
      <c r="E49" s="45">
        <f t="shared" si="6"/>
        <v>65.51500405515004</v>
      </c>
      <c r="F49" s="45">
        <f t="shared" si="4"/>
        <v>100.17205834482972</v>
      </c>
      <c r="G49" s="57">
        <v>5107.55</v>
      </c>
      <c r="H49" s="45">
        <f t="shared" si="5"/>
        <v>25.305283355033236</v>
      </c>
      <c r="I49" s="57">
        <v>71.26</v>
      </c>
    </row>
    <row r="50" spans="1:9" ht="63.75" hidden="1">
      <c r="A50" s="51" t="s">
        <v>126</v>
      </c>
      <c r="B50" s="61"/>
      <c r="C50" s="61"/>
      <c r="D50" s="61"/>
      <c r="E50" s="45" t="e">
        <f t="shared" si="6"/>
        <v>#DIV/0!</v>
      </c>
      <c r="F50" s="45" t="e">
        <f t="shared" si="4"/>
        <v>#DIV/0!</v>
      </c>
      <c r="G50" s="61"/>
      <c r="H50" s="45" t="e">
        <f t="shared" si="5"/>
        <v>#DIV/0!</v>
      </c>
      <c r="I50" s="61"/>
    </row>
    <row r="51" spans="1:9" ht="89.25" hidden="1">
      <c r="A51" s="51" t="s">
        <v>127</v>
      </c>
      <c r="B51" s="61"/>
      <c r="C51" s="61"/>
      <c r="D51" s="61"/>
      <c r="E51" s="45" t="e">
        <f t="shared" si="6"/>
        <v>#DIV/0!</v>
      </c>
      <c r="F51" s="45" t="e">
        <f t="shared" si="4"/>
        <v>#DIV/0!</v>
      </c>
      <c r="G51" s="61"/>
      <c r="H51" s="45" t="e">
        <f t="shared" si="5"/>
        <v>#DIV/0!</v>
      </c>
      <c r="I51" s="61"/>
    </row>
    <row r="52" spans="1:9" ht="14.25" customHeight="1" hidden="1">
      <c r="A52" s="51" t="s">
        <v>128</v>
      </c>
      <c r="B52" s="61"/>
      <c r="C52" s="61"/>
      <c r="D52" s="61"/>
      <c r="E52" s="45" t="e">
        <f t="shared" si="6"/>
        <v>#DIV/0!</v>
      </c>
      <c r="F52" s="45" t="e">
        <f t="shared" si="4"/>
        <v>#DIV/0!</v>
      </c>
      <c r="G52" s="61"/>
      <c r="H52" s="45" t="e">
        <f t="shared" si="5"/>
        <v>#DIV/0!</v>
      </c>
      <c r="I52" s="61"/>
    </row>
    <row r="53" spans="1:9" ht="63.75" hidden="1">
      <c r="A53" s="51" t="s">
        <v>129</v>
      </c>
      <c r="B53" s="61"/>
      <c r="C53" s="61"/>
      <c r="D53" s="61"/>
      <c r="E53" s="45" t="e">
        <f t="shared" si="6"/>
        <v>#DIV/0!</v>
      </c>
      <c r="F53" s="45" t="e">
        <f t="shared" si="4"/>
        <v>#DIV/0!</v>
      </c>
      <c r="G53" s="61"/>
      <c r="H53" s="45" t="s">
        <v>112</v>
      </c>
      <c r="I53" s="61"/>
    </row>
    <row r="54" spans="1:9" ht="63.75" hidden="1">
      <c r="A54" s="51" t="s">
        <v>130</v>
      </c>
      <c r="B54" s="61"/>
      <c r="C54" s="61"/>
      <c r="D54" s="61"/>
      <c r="E54" s="45" t="s">
        <v>112</v>
      </c>
      <c r="F54" s="45" t="e">
        <f t="shared" si="4"/>
        <v>#DIV/0!</v>
      </c>
      <c r="G54" s="61"/>
      <c r="H54" s="45" t="e">
        <f>$D:$D/$G:$G*100</f>
        <v>#DIV/0!</v>
      </c>
      <c r="I54" s="61"/>
    </row>
    <row r="55" spans="1:9" ht="63.75" hidden="1">
      <c r="A55" s="51" t="s">
        <v>131</v>
      </c>
      <c r="B55" s="61"/>
      <c r="C55" s="61"/>
      <c r="D55" s="61"/>
      <c r="E55" s="45" t="e">
        <f>$D:$D/$B:$B*100</f>
        <v>#DIV/0!</v>
      </c>
      <c r="F55" s="45" t="e">
        <f t="shared" si="4"/>
        <v>#DIV/0!</v>
      </c>
      <c r="G55" s="61"/>
      <c r="H55" s="45" t="e">
        <f>$D:$D/$G:$G*100</f>
        <v>#DIV/0!</v>
      </c>
      <c r="I55" s="61"/>
    </row>
    <row r="56" spans="1:9" ht="76.5" hidden="1">
      <c r="A56" s="51" t="s">
        <v>132</v>
      </c>
      <c r="B56" s="61"/>
      <c r="C56" s="61"/>
      <c r="D56" s="61"/>
      <c r="E56" s="45" t="e">
        <f>$D:$D/$B:$B*100</f>
        <v>#DIV/0!</v>
      </c>
      <c r="F56" s="45" t="e">
        <f t="shared" si="4"/>
        <v>#DIV/0!</v>
      </c>
      <c r="G56" s="61"/>
      <c r="H56" s="45" t="e">
        <f>$D:$D/$G:$G*100</f>
        <v>#DIV/0!</v>
      </c>
      <c r="I56" s="61"/>
    </row>
    <row r="57" spans="1:9" ht="52.5" customHeight="1" hidden="1">
      <c r="A57" s="51" t="s">
        <v>133</v>
      </c>
      <c r="B57" s="61"/>
      <c r="C57" s="61"/>
      <c r="D57" s="61"/>
      <c r="E57" s="45" t="e">
        <f>$D:$D/$B:$B*100</f>
        <v>#DIV/0!</v>
      </c>
      <c r="F57" s="45" t="e">
        <f t="shared" si="4"/>
        <v>#DIV/0!</v>
      </c>
      <c r="G57" s="61"/>
      <c r="H57" s="45" t="e">
        <f>$D:$D/$G:$G*100</f>
        <v>#DIV/0!</v>
      </c>
      <c r="I57" s="61"/>
    </row>
    <row r="58" spans="1:9" ht="76.5" hidden="1">
      <c r="A58" s="51" t="s">
        <v>134</v>
      </c>
      <c r="B58" s="61"/>
      <c r="C58" s="61"/>
      <c r="D58" s="61"/>
      <c r="E58" s="45" t="s">
        <v>111</v>
      </c>
      <c r="F58" s="45" t="e">
        <f t="shared" si="4"/>
        <v>#DIV/0!</v>
      </c>
      <c r="G58" s="61"/>
      <c r="H58" s="45" t="s">
        <v>111</v>
      </c>
      <c r="I58" s="61"/>
    </row>
    <row r="59" spans="1:9" ht="12.75" hidden="1">
      <c r="A59" s="51" t="s">
        <v>135</v>
      </c>
      <c r="B59" s="61"/>
      <c r="C59" s="61"/>
      <c r="D59" s="61"/>
      <c r="E59" s="45" t="e">
        <f aca="true" t="shared" si="7" ref="E59:E67">$D:$D/$B:$B*100</f>
        <v>#DIV/0!</v>
      </c>
      <c r="F59" s="45" t="e">
        <f t="shared" si="4"/>
        <v>#DIV/0!</v>
      </c>
      <c r="G59" s="61"/>
      <c r="H59" s="45" t="s">
        <v>112</v>
      </c>
      <c r="I59" s="61"/>
    </row>
    <row r="60" spans="1:9" ht="12.75">
      <c r="A60" s="47" t="s">
        <v>16</v>
      </c>
      <c r="B60" s="56">
        <v>160.35</v>
      </c>
      <c r="C60" s="56">
        <v>40</v>
      </c>
      <c r="D60" s="56">
        <v>-54.19</v>
      </c>
      <c r="E60" s="45">
        <f t="shared" si="7"/>
        <v>-33.79482382288743</v>
      </c>
      <c r="F60" s="45" t="s">
        <v>111</v>
      </c>
      <c r="G60" s="56">
        <v>53.24</v>
      </c>
      <c r="H60" s="45">
        <f aca="true" t="shared" si="8" ref="H60:H66">$D:$D/$G:$G*100</f>
        <v>-101.78437265214124</v>
      </c>
      <c r="I60" s="56">
        <v>14.58</v>
      </c>
    </row>
    <row r="61" spans="1:9" ht="12.75">
      <c r="A61" s="54" t="s">
        <v>17</v>
      </c>
      <c r="B61" s="57">
        <f>B8+B15+B20+B24+B27+B31+B34+B43+B44+B45+B60+B49</f>
        <v>442319.4799999999</v>
      </c>
      <c r="C61" s="57">
        <f>C8+C15+C20+C24+C27+C31+C34+C43+C44+C45+C60+C49</f>
        <v>155600.58000000002</v>
      </c>
      <c r="D61" s="57">
        <f>D8+D15+D20+D24+D27+D31+D34+D43+D44+D45+D60+D49</f>
        <v>154661.89</v>
      </c>
      <c r="E61" s="45">
        <f t="shared" si="7"/>
        <v>34.96610413812207</v>
      </c>
      <c r="F61" s="45">
        <f aca="true" t="shared" si="9" ref="F61:F66">$D:$D/$C:$C*100</f>
        <v>99.39673104046271</v>
      </c>
      <c r="G61" s="57">
        <f>G8+G15+G20+G24+G27+G31+G34+G43+G44+G45+G60+G49</f>
        <v>155699.99999999997</v>
      </c>
      <c r="H61" s="45">
        <f t="shared" si="8"/>
        <v>99.33326268465</v>
      </c>
      <c r="I61" s="57">
        <f>I8+I15+I20+I24+I27+I31+I34+I43+I44+I45+I60+I49</f>
        <v>24373.72</v>
      </c>
    </row>
    <row r="62" spans="1:9" ht="16.5" customHeight="1">
      <c r="A62" s="54" t="s">
        <v>18</v>
      </c>
      <c r="B62" s="57">
        <f>B63+B69+B68</f>
        <v>1996762.33</v>
      </c>
      <c r="C62" s="57">
        <f>C63+C69+C68</f>
        <v>604314.6300000001</v>
      </c>
      <c r="D62" s="57">
        <f>D63+D69+D68</f>
        <v>603906.0399999999</v>
      </c>
      <c r="E62" s="45">
        <f t="shared" si="7"/>
        <v>30.244262470636645</v>
      </c>
      <c r="F62" s="45">
        <f t="shared" si="9"/>
        <v>99.93238786888212</v>
      </c>
      <c r="G62" s="57">
        <f>G63+G69+G68</f>
        <v>578108.01</v>
      </c>
      <c r="H62" s="45">
        <f t="shared" si="8"/>
        <v>104.4624930901753</v>
      </c>
      <c r="I62" s="57">
        <f>I63+I69+I68</f>
        <v>143715.47999999998</v>
      </c>
    </row>
    <row r="63" spans="1:9" ht="25.5" customHeight="1">
      <c r="A63" s="54" t="s">
        <v>19</v>
      </c>
      <c r="B63" s="57">
        <f>B64+B65+B67+B66</f>
        <v>1999031.53</v>
      </c>
      <c r="C63" s="57">
        <f>C64+C65+C67+C66</f>
        <v>606583.8300000001</v>
      </c>
      <c r="D63" s="57">
        <f>D64+D65+D67+D66</f>
        <v>606583.85</v>
      </c>
      <c r="E63" s="45">
        <f t="shared" si="7"/>
        <v>30.343886071671918</v>
      </c>
      <c r="F63" s="45">
        <f t="shared" si="9"/>
        <v>100.00000329715348</v>
      </c>
      <c r="G63" s="57">
        <f>G64+G65+G67+G66</f>
        <v>578975.09</v>
      </c>
      <c r="H63" s="45">
        <f t="shared" si="8"/>
        <v>104.7685574866442</v>
      </c>
      <c r="I63" s="57">
        <f>I64+I65+I67+I66</f>
        <v>143721.09999999998</v>
      </c>
    </row>
    <row r="64" spans="1:9" ht="13.5" customHeight="1">
      <c r="A64" s="51" t="s">
        <v>108</v>
      </c>
      <c r="B64" s="61">
        <v>473017.9</v>
      </c>
      <c r="C64" s="61">
        <v>188527.6</v>
      </c>
      <c r="D64" s="61">
        <v>188527.6</v>
      </c>
      <c r="E64" s="45">
        <f t="shared" si="7"/>
        <v>39.8563352465097</v>
      </c>
      <c r="F64" s="45">
        <f t="shared" si="9"/>
        <v>100</v>
      </c>
      <c r="G64" s="61">
        <v>163738.28</v>
      </c>
      <c r="H64" s="45">
        <f t="shared" si="8"/>
        <v>115.13959960981634</v>
      </c>
      <c r="I64" s="61">
        <v>26293.6</v>
      </c>
    </row>
    <row r="65" spans="1:9" ht="13.5" customHeight="1">
      <c r="A65" s="51" t="s">
        <v>109</v>
      </c>
      <c r="B65" s="61">
        <v>495378.37</v>
      </c>
      <c r="C65" s="61">
        <v>29735.61</v>
      </c>
      <c r="D65" s="61">
        <v>29735.620000000003</v>
      </c>
      <c r="E65" s="45">
        <f t="shared" si="7"/>
        <v>6.002607663309966</v>
      </c>
      <c r="F65" s="45">
        <f t="shared" si="9"/>
        <v>100.000033629712</v>
      </c>
      <c r="G65" s="61">
        <v>48973.2</v>
      </c>
      <c r="H65" s="45">
        <f t="shared" si="8"/>
        <v>60.71814788496567</v>
      </c>
      <c r="I65" s="61">
        <v>9070.65</v>
      </c>
    </row>
    <row r="66" spans="1:9" ht="13.5" customHeight="1">
      <c r="A66" s="51" t="s">
        <v>110</v>
      </c>
      <c r="B66" s="61">
        <v>1010703.86</v>
      </c>
      <c r="C66" s="61">
        <v>385369.01</v>
      </c>
      <c r="D66" s="61">
        <v>385369.02</v>
      </c>
      <c r="E66" s="45">
        <f t="shared" si="7"/>
        <v>38.128776909984296</v>
      </c>
      <c r="F66" s="45">
        <f t="shared" si="9"/>
        <v>100.00000259491546</v>
      </c>
      <c r="G66" s="61">
        <v>364679.03</v>
      </c>
      <c r="H66" s="45">
        <f t="shared" si="8"/>
        <v>105.67347949784774</v>
      </c>
      <c r="I66" s="61">
        <v>105610.9</v>
      </c>
    </row>
    <row r="67" spans="1:9" ht="12.75">
      <c r="A67" s="2" t="s">
        <v>122</v>
      </c>
      <c r="B67" s="61">
        <v>19931.399999999998</v>
      </c>
      <c r="C67" s="61">
        <v>2951.6099999999997</v>
      </c>
      <c r="D67" s="61">
        <v>2951.6099999999997</v>
      </c>
      <c r="E67" s="45">
        <f t="shared" si="7"/>
        <v>14.80884433607273</v>
      </c>
      <c r="F67" s="45" t="s">
        <v>111</v>
      </c>
      <c r="G67" s="61">
        <v>1584.58</v>
      </c>
      <c r="H67" s="45" t="s">
        <v>111</v>
      </c>
      <c r="I67" s="61">
        <v>2745.95</v>
      </c>
    </row>
    <row r="68" spans="1:9" ht="12.75">
      <c r="A68" s="54" t="s">
        <v>113</v>
      </c>
      <c r="B68" s="61"/>
      <c r="C68" s="61"/>
      <c r="D68" s="61"/>
      <c r="E68" s="45" t="s">
        <v>112</v>
      </c>
      <c r="F68" s="45" t="s">
        <v>111</v>
      </c>
      <c r="G68" s="61">
        <v>0</v>
      </c>
      <c r="H68" s="45" t="s">
        <v>112</v>
      </c>
      <c r="I68" s="61"/>
    </row>
    <row r="69" spans="1:9" ht="25.5">
      <c r="A69" s="54" t="s">
        <v>21</v>
      </c>
      <c r="B69" s="56">
        <v>-2269.2</v>
      </c>
      <c r="C69" s="56">
        <v>-2269.2</v>
      </c>
      <c r="D69" s="56">
        <v>-2677.8099999999995</v>
      </c>
      <c r="E69" s="45" t="s">
        <v>112</v>
      </c>
      <c r="F69" s="45" t="s">
        <v>111</v>
      </c>
      <c r="G69" s="56">
        <v>-867.08</v>
      </c>
      <c r="H69" s="45">
        <f>$D:$D/$G:$G*100</f>
        <v>308.83078839322775</v>
      </c>
      <c r="I69" s="56">
        <v>-5.62</v>
      </c>
    </row>
    <row r="70" spans="1:9" ht="17.25" customHeight="1" hidden="1">
      <c r="A70" s="47" t="s">
        <v>20</v>
      </c>
      <c r="B70" s="57">
        <f>B62+B61</f>
        <v>2439081.81</v>
      </c>
      <c r="C70" s="57">
        <f>C62+C61</f>
        <v>759915.2100000002</v>
      </c>
      <c r="D70" s="57">
        <f>D62+D61</f>
        <v>758567.9299999999</v>
      </c>
      <c r="E70" s="45">
        <f>$D:$D/$B:$B*100</f>
        <v>31.10055295767221</v>
      </c>
      <c r="F70" s="45">
        <f>$D:$D/$C:$C*100</f>
        <v>99.82270653590415</v>
      </c>
      <c r="G70" s="57">
        <f>G62+G61</f>
        <v>733808.01</v>
      </c>
      <c r="H70" s="45">
        <f>$D:$D/$G:$G*100</f>
        <v>103.3741686739015</v>
      </c>
      <c r="I70" s="57">
        <f>I62+I61</f>
        <v>168089.19999999998</v>
      </c>
    </row>
    <row r="71" spans="1:9" ht="12.75">
      <c r="A71" s="47" t="s">
        <v>20</v>
      </c>
      <c r="B71" s="33">
        <f>B70</f>
        <v>2439081.81</v>
      </c>
      <c r="C71" s="33">
        <f aca="true" t="shared" si="10" ref="C71:I71">C70</f>
        <v>759915.2100000002</v>
      </c>
      <c r="D71" s="33">
        <f t="shared" si="10"/>
        <v>758567.9299999999</v>
      </c>
      <c r="E71" s="33">
        <f t="shared" si="10"/>
        <v>31.10055295767221</v>
      </c>
      <c r="F71" s="33">
        <f t="shared" si="10"/>
        <v>99.82270653590415</v>
      </c>
      <c r="G71" s="33">
        <f t="shared" si="10"/>
        <v>733808.01</v>
      </c>
      <c r="H71" s="33">
        <f t="shared" si="10"/>
        <v>103.3741686739015</v>
      </c>
      <c r="I71" s="33">
        <f t="shared" si="10"/>
        <v>168089.19999999998</v>
      </c>
    </row>
    <row r="72" spans="1:9" ht="12.75">
      <c r="A72" s="102" t="s">
        <v>22</v>
      </c>
      <c r="B72" s="103"/>
      <c r="C72" s="103"/>
      <c r="D72" s="103"/>
      <c r="E72" s="103"/>
      <c r="F72" s="103"/>
      <c r="G72" s="103"/>
      <c r="H72" s="103"/>
      <c r="I72" s="104"/>
    </row>
    <row r="73" spans="1:9" ht="12.75">
      <c r="A73" s="7" t="s">
        <v>23</v>
      </c>
      <c r="B73" s="33">
        <f>B74+B75+B76+B77+B78+B79+B80+B81</f>
        <v>135130</v>
      </c>
      <c r="C73" s="33">
        <f>C74+C75+C76+C77+C78+C79+C80+C81</f>
        <v>42779</v>
      </c>
      <c r="D73" s="33">
        <f>D74+D75+D76+D77+D78+D79+D80+D81</f>
        <v>41554.8</v>
      </c>
      <c r="E73" s="25">
        <f>$D:$D/$B:$B*100</f>
        <v>30.751720565381486</v>
      </c>
      <c r="F73" s="25">
        <f>$D:$D/$C:$C*100</f>
        <v>97.13831552864724</v>
      </c>
      <c r="G73" s="33">
        <f>G74+G75+G76+G77+G78+G79+G80+G81</f>
        <v>39596</v>
      </c>
      <c r="H73" s="25">
        <f>$D:$D/$G:$G*100</f>
        <v>104.9469643398323</v>
      </c>
      <c r="I73" s="33" t="e">
        <f>I74+I75+I76+I77+I78+I79+I80+I81</f>
        <v>#REF!</v>
      </c>
    </row>
    <row r="74" spans="1:9" ht="14.25" customHeight="1">
      <c r="A74" s="8" t="s">
        <v>24</v>
      </c>
      <c r="B74" s="34">
        <v>2230.1</v>
      </c>
      <c r="C74" s="34">
        <v>591.4</v>
      </c>
      <c r="D74" s="34">
        <v>591.4</v>
      </c>
      <c r="E74" s="28">
        <f>$D:$D/$B:$B*100</f>
        <v>26.518990179812562</v>
      </c>
      <c r="F74" s="28">
        <f>$D:$D/$C:$C*100</f>
        <v>100</v>
      </c>
      <c r="G74" s="34">
        <v>289.7</v>
      </c>
      <c r="H74" s="28">
        <f>$D:$D/$G:$G*100</f>
        <v>204.1422160856058</v>
      </c>
      <c r="I74" s="34" t="e">
        <f>D74-#REF!</f>
        <v>#REF!</v>
      </c>
    </row>
    <row r="75" spans="1:9" ht="12.75">
      <c r="A75" s="8" t="s">
        <v>25</v>
      </c>
      <c r="B75" s="34">
        <v>5806.3</v>
      </c>
      <c r="C75" s="34">
        <v>2040.5</v>
      </c>
      <c r="D75" s="34">
        <v>1700.1</v>
      </c>
      <c r="E75" s="28">
        <f>$D:$D/$B:$B*100</f>
        <v>29.28026454024077</v>
      </c>
      <c r="F75" s="28">
        <f>$D:$D/$C:$C*100</f>
        <v>83.31781426121049</v>
      </c>
      <c r="G75" s="34">
        <v>1728</v>
      </c>
      <c r="H75" s="28">
        <f>$D:$D/$G:$G*100</f>
        <v>98.38541666666666</v>
      </c>
      <c r="I75" s="34" t="e">
        <f>D75-#REF!</f>
        <v>#REF!</v>
      </c>
    </row>
    <row r="76" spans="1:9" ht="25.5">
      <c r="A76" s="8" t="s">
        <v>26</v>
      </c>
      <c r="B76" s="34">
        <v>50584.7</v>
      </c>
      <c r="C76" s="34">
        <v>17766.9</v>
      </c>
      <c r="D76" s="34">
        <v>17383.9</v>
      </c>
      <c r="E76" s="28">
        <f>$D:$D/$B:$B*100</f>
        <v>34.365924874517404</v>
      </c>
      <c r="F76" s="28">
        <f>$D:$D/$C:$C*100</f>
        <v>97.8443059847244</v>
      </c>
      <c r="G76" s="34">
        <v>15812.7</v>
      </c>
      <c r="H76" s="28">
        <f>$D:$D/$G:$G*100</f>
        <v>109.93631701101015</v>
      </c>
      <c r="I76" s="34" t="e">
        <f>D76-#REF!</f>
        <v>#REF!</v>
      </c>
    </row>
    <row r="77" spans="1:9" ht="12.75">
      <c r="A77" s="8" t="s">
        <v>72</v>
      </c>
      <c r="B77" s="41">
        <v>30.1</v>
      </c>
      <c r="C77" s="41">
        <v>30.1</v>
      </c>
      <c r="D77" s="41">
        <v>0</v>
      </c>
      <c r="E77" s="28">
        <v>0</v>
      </c>
      <c r="F77" s="28">
        <v>0</v>
      </c>
      <c r="G77" s="41">
        <v>0</v>
      </c>
      <c r="H77" s="28">
        <v>0</v>
      </c>
      <c r="I77" s="34" t="e">
        <f>D77-#REF!</f>
        <v>#REF!</v>
      </c>
    </row>
    <row r="78" spans="1:9" ht="25.5">
      <c r="A78" s="1" t="s">
        <v>27</v>
      </c>
      <c r="B78" s="27">
        <v>13022.4</v>
      </c>
      <c r="C78" s="27">
        <v>5797.9</v>
      </c>
      <c r="D78" s="27">
        <v>5457</v>
      </c>
      <c r="E78" s="28">
        <f>$D:$D/$B:$B*100</f>
        <v>41.904718024327316</v>
      </c>
      <c r="F78" s="28">
        <v>0</v>
      </c>
      <c r="G78" s="27">
        <v>4897.7</v>
      </c>
      <c r="H78" s="28">
        <f>$D:$D/$G:$G*100</f>
        <v>111.41964595626519</v>
      </c>
      <c r="I78" s="34" t="e">
        <f>D78-#REF!</f>
        <v>#REF!</v>
      </c>
    </row>
    <row r="79" spans="1:9" ht="12.75" hidden="1">
      <c r="A79" s="8" t="s">
        <v>28</v>
      </c>
      <c r="B79" s="34">
        <v>0</v>
      </c>
      <c r="C79" s="34">
        <v>0</v>
      </c>
      <c r="D79" s="34">
        <v>0</v>
      </c>
      <c r="E79" s="28">
        <v>0</v>
      </c>
      <c r="F79" s="28">
        <v>0</v>
      </c>
      <c r="G79" s="34">
        <v>0</v>
      </c>
      <c r="H79" s="28">
        <v>0</v>
      </c>
      <c r="I79" s="34" t="e">
        <f>D79-#REF!</f>
        <v>#REF!</v>
      </c>
    </row>
    <row r="80" spans="1:9" ht="12.75">
      <c r="A80" s="8" t="s">
        <v>29</v>
      </c>
      <c r="B80" s="34">
        <v>1056</v>
      </c>
      <c r="C80" s="34">
        <v>0</v>
      </c>
      <c r="D80" s="34">
        <v>0</v>
      </c>
      <c r="E80" s="28">
        <f>$D:$D/$B:$B*100</f>
        <v>0</v>
      </c>
      <c r="F80" s="28">
        <v>0</v>
      </c>
      <c r="G80" s="34">
        <v>0</v>
      </c>
      <c r="H80" s="28">
        <v>0</v>
      </c>
      <c r="I80" s="34" t="e">
        <f>D80-#REF!</f>
        <v>#REF!</v>
      </c>
    </row>
    <row r="81" spans="1:9" ht="12.75">
      <c r="A81" s="1" t="s">
        <v>30</v>
      </c>
      <c r="B81" s="34">
        <v>62400.4</v>
      </c>
      <c r="C81" s="34">
        <v>16552.2</v>
      </c>
      <c r="D81" s="34">
        <v>16422.4</v>
      </c>
      <c r="E81" s="28">
        <f>$D:$D/$B:$B*100</f>
        <v>26.317780014230678</v>
      </c>
      <c r="F81" s="28">
        <f>$D:$D/$C:$C*100</f>
        <v>99.21581421200808</v>
      </c>
      <c r="G81" s="34">
        <v>16867.9</v>
      </c>
      <c r="H81" s="28">
        <f>$D:$D/$G:$G*100</f>
        <v>97.35888877690762</v>
      </c>
      <c r="I81" s="34" t="e">
        <f>D81-#REF!</f>
        <v>#REF!</v>
      </c>
    </row>
    <row r="82" spans="1:9" ht="12.75">
      <c r="A82" s="7" t="s">
        <v>31</v>
      </c>
      <c r="B82" s="26">
        <v>377.1</v>
      </c>
      <c r="C82" s="26">
        <v>211.8</v>
      </c>
      <c r="D82" s="33">
        <v>131.1</v>
      </c>
      <c r="E82" s="25">
        <f>$D:$D/$B:$B*100</f>
        <v>34.76531424025457</v>
      </c>
      <c r="F82" s="25">
        <f>$D:$D/$C:$C*100</f>
        <v>61.89801699716714</v>
      </c>
      <c r="G82" s="33">
        <v>124.5</v>
      </c>
      <c r="H82" s="25">
        <v>0</v>
      </c>
      <c r="I82" s="33" t="e">
        <f>D82-#REF!</f>
        <v>#REF!</v>
      </c>
    </row>
    <row r="83" spans="1:9" ht="25.5">
      <c r="A83" s="9" t="s">
        <v>32</v>
      </c>
      <c r="B83" s="26">
        <v>4849.7</v>
      </c>
      <c r="C83" s="26">
        <v>1302.7</v>
      </c>
      <c r="D83" s="26">
        <v>1276.9</v>
      </c>
      <c r="E83" s="25">
        <f>$D:$D/$B:$B*100</f>
        <v>26.32946367816566</v>
      </c>
      <c r="F83" s="25">
        <f>$D:$D/$C:$C*100</f>
        <v>98.0194979657634</v>
      </c>
      <c r="G83" s="26">
        <v>1226.1</v>
      </c>
      <c r="H83" s="25">
        <f>$D:$D/$G:$G*100</f>
        <v>104.14321833455674</v>
      </c>
      <c r="I83" s="33" t="e">
        <f>D83-#REF!</f>
        <v>#REF!</v>
      </c>
    </row>
    <row r="84" spans="1:9" ht="12.75">
      <c r="A84" s="7" t="s">
        <v>33</v>
      </c>
      <c r="B84" s="33">
        <f>B85+B86+B87+B88+B89</f>
        <v>177463.99999999997</v>
      </c>
      <c r="C84" s="33">
        <f>C85+C86+C87+C88+C89</f>
        <v>25380.3</v>
      </c>
      <c r="D84" s="33">
        <f>D85+D86+D87+D88+D89</f>
        <v>21369</v>
      </c>
      <c r="E84" s="25">
        <f>$D:$D/$B:$B*100</f>
        <v>12.041315421719338</v>
      </c>
      <c r="F84" s="25">
        <f>$D:$D/$C:$C*100</f>
        <v>84.19522227869646</v>
      </c>
      <c r="G84" s="33">
        <f>G85+G86+G87+G88+G89</f>
        <v>19549.300000000003</v>
      </c>
      <c r="H84" s="25">
        <f>$D:$D/$G:$G*100</f>
        <v>109.30826167688868</v>
      </c>
      <c r="I84" s="33" t="e">
        <f>I85+I86+I87+I88+I89</f>
        <v>#REF!</v>
      </c>
    </row>
    <row r="85" spans="1:9" ht="12.75" hidden="1">
      <c r="A85" s="10" t="s">
        <v>64</v>
      </c>
      <c r="B85" s="34"/>
      <c r="C85" s="34"/>
      <c r="D85" s="34"/>
      <c r="E85" s="28">
        <v>0</v>
      </c>
      <c r="F85" s="28">
        <v>0</v>
      </c>
      <c r="G85" s="34"/>
      <c r="H85" s="28">
        <v>0</v>
      </c>
      <c r="I85" s="34" t="e">
        <f>D85-#REF!</f>
        <v>#REF!</v>
      </c>
    </row>
    <row r="86" spans="1:9" ht="12.75">
      <c r="A86" s="10" t="s">
        <v>67</v>
      </c>
      <c r="B86" s="34">
        <v>48299.2</v>
      </c>
      <c r="C86" s="34">
        <v>0</v>
      </c>
      <c r="D86" s="34">
        <v>0</v>
      </c>
      <c r="E86" s="28">
        <v>0</v>
      </c>
      <c r="F86" s="28">
        <v>0</v>
      </c>
      <c r="G86" s="34">
        <v>0</v>
      </c>
      <c r="H86" s="28">
        <v>0</v>
      </c>
      <c r="I86" s="34" t="e">
        <f>D86-#REF!</f>
        <v>#REF!</v>
      </c>
    </row>
    <row r="87" spans="1:9" ht="12.75">
      <c r="A87" s="8" t="s">
        <v>34</v>
      </c>
      <c r="B87" s="34">
        <v>24097</v>
      </c>
      <c r="C87" s="34">
        <v>7530.8</v>
      </c>
      <c r="D87" s="34">
        <v>7530.8</v>
      </c>
      <c r="E87" s="28">
        <f>$D:$D/$B:$B*100</f>
        <v>31.252023073411628</v>
      </c>
      <c r="F87" s="28">
        <v>0</v>
      </c>
      <c r="G87" s="34">
        <v>6354.8</v>
      </c>
      <c r="H87" s="28">
        <v>0</v>
      </c>
      <c r="I87" s="34" t="e">
        <f>D87-#REF!</f>
        <v>#REF!</v>
      </c>
    </row>
    <row r="88" spans="1:9" ht="12.75">
      <c r="A88" s="10" t="s">
        <v>77</v>
      </c>
      <c r="B88" s="27">
        <v>93929.4</v>
      </c>
      <c r="C88" s="27">
        <v>13972.8</v>
      </c>
      <c r="D88" s="27">
        <v>9972.8</v>
      </c>
      <c r="E88" s="28">
        <f>$D:$D/$B:$B*100</f>
        <v>10.61733599916533</v>
      </c>
      <c r="F88" s="28">
        <f>$D:$D/$C:$C*100</f>
        <v>71.37295316615138</v>
      </c>
      <c r="G88" s="27">
        <v>9391.6</v>
      </c>
      <c r="H88" s="28">
        <v>0</v>
      </c>
      <c r="I88" s="34" t="e">
        <f>D88-#REF!</f>
        <v>#REF!</v>
      </c>
    </row>
    <row r="89" spans="1:9" ht="12.75">
      <c r="A89" s="8" t="s">
        <v>35</v>
      </c>
      <c r="B89" s="34">
        <v>11138.4</v>
      </c>
      <c r="C89" s="34">
        <v>3876.7</v>
      </c>
      <c r="D89" s="34">
        <v>3865.4</v>
      </c>
      <c r="E89" s="28">
        <f>$D:$D/$B:$B*100</f>
        <v>34.70336852689794</v>
      </c>
      <c r="F89" s="28">
        <f>$D:$D/$C:$C*100</f>
        <v>99.7085149740759</v>
      </c>
      <c r="G89" s="34">
        <v>3802.9</v>
      </c>
      <c r="H89" s="28">
        <f>$D:$D/$G:$G*100</f>
        <v>101.6434826053801</v>
      </c>
      <c r="I89" s="34" t="e">
        <f>D89-#REF!</f>
        <v>#REF!</v>
      </c>
    </row>
    <row r="90" spans="1:9" ht="12.75">
      <c r="A90" s="11" t="s">
        <v>36</v>
      </c>
      <c r="B90" s="33">
        <f>B92+B93+B94+B91</f>
        <v>175247.3</v>
      </c>
      <c r="C90" s="33">
        <f>C92+C93+C94+C91</f>
        <v>19044.4</v>
      </c>
      <c r="D90" s="33">
        <f>D92+D93+D94+D91</f>
        <v>17413.100000000002</v>
      </c>
      <c r="E90" s="33">
        <f>E92+E93+E94+E91</f>
        <v>49.17013718241245</v>
      </c>
      <c r="F90" s="25">
        <f>$D:$D/$C:$C*100</f>
        <v>91.43422738442797</v>
      </c>
      <c r="G90" s="33">
        <f>G92+G93+G94+G91</f>
        <v>20081.8</v>
      </c>
      <c r="H90" s="33">
        <f>H92+H93+H94</f>
        <v>194.5212622462535</v>
      </c>
      <c r="I90" s="33" t="e">
        <f>I92+I93+I94+I91</f>
        <v>#REF!</v>
      </c>
    </row>
    <row r="91" spans="1:9" ht="12.75">
      <c r="A91" s="8" t="s">
        <v>37</v>
      </c>
      <c r="B91" s="34">
        <v>74060</v>
      </c>
      <c r="C91" s="44">
        <v>0</v>
      </c>
      <c r="D91" s="44">
        <v>0</v>
      </c>
      <c r="E91" s="43">
        <v>0</v>
      </c>
      <c r="F91" s="28">
        <v>0</v>
      </c>
      <c r="G91" s="66">
        <v>0</v>
      </c>
      <c r="H91" s="28">
        <v>0</v>
      </c>
      <c r="I91" s="34" t="e">
        <f>D91-#REF!</f>
        <v>#REF!</v>
      </c>
    </row>
    <row r="92" spans="1:9" ht="12.75">
      <c r="A92" s="8" t="s">
        <v>38</v>
      </c>
      <c r="B92" s="34">
        <v>7304.2</v>
      </c>
      <c r="C92" s="34">
        <v>1405.2</v>
      </c>
      <c r="D92" s="34">
        <v>5.2</v>
      </c>
      <c r="E92" s="28">
        <f>$D:$D/$B:$B*100</f>
        <v>0.07119191697927221</v>
      </c>
      <c r="F92" s="28">
        <v>0</v>
      </c>
      <c r="G92" s="34">
        <v>1558.4</v>
      </c>
      <c r="H92" s="28">
        <v>0</v>
      </c>
      <c r="I92" s="34" t="e">
        <f>D92-#REF!</f>
        <v>#REF!</v>
      </c>
    </row>
    <row r="93" spans="1:9" ht="12.75">
      <c r="A93" s="8" t="s">
        <v>39</v>
      </c>
      <c r="B93" s="34">
        <v>76148.1</v>
      </c>
      <c r="C93" s="34">
        <v>11543.8</v>
      </c>
      <c r="D93" s="34">
        <v>11341.7</v>
      </c>
      <c r="E93" s="28">
        <f>$D:$D/$B:$B*100</f>
        <v>14.894265254156045</v>
      </c>
      <c r="F93" s="28">
        <f>$D:$D/$C:$C*100</f>
        <v>98.24927666799496</v>
      </c>
      <c r="G93" s="34">
        <v>12793.5</v>
      </c>
      <c r="H93" s="28">
        <f>$D:$D/$G:$G*100</f>
        <v>88.65204986907415</v>
      </c>
      <c r="I93" s="34" t="e">
        <f>D93-#REF!</f>
        <v>#REF!</v>
      </c>
    </row>
    <row r="94" spans="1:9" ht="12.75">
      <c r="A94" s="8" t="s">
        <v>40</v>
      </c>
      <c r="B94" s="34">
        <v>17735</v>
      </c>
      <c r="C94" s="34">
        <v>6095.4</v>
      </c>
      <c r="D94" s="34">
        <v>6066.2</v>
      </c>
      <c r="E94" s="28">
        <f>$D:$D/$B:$B*100</f>
        <v>34.204680011277134</v>
      </c>
      <c r="F94" s="28">
        <f>$D:$D/$C:$C*100</f>
        <v>99.52095022475966</v>
      </c>
      <c r="G94" s="34">
        <v>5729.9</v>
      </c>
      <c r="H94" s="28">
        <f>$D:$D/$G:$G*100</f>
        <v>105.86921237717937</v>
      </c>
      <c r="I94" s="34" t="e">
        <f>D94-#REF!</f>
        <v>#REF!</v>
      </c>
    </row>
    <row r="95" spans="1:9" ht="12.75">
      <c r="A95" s="11" t="s">
        <v>115</v>
      </c>
      <c r="B95" s="33">
        <f aca="true" t="shared" si="11" ref="B95:I95">B96</f>
        <v>1872</v>
      </c>
      <c r="C95" s="33">
        <f t="shared" si="11"/>
        <v>0</v>
      </c>
      <c r="D95" s="33">
        <f t="shared" si="11"/>
        <v>0</v>
      </c>
      <c r="E95" s="33">
        <f t="shared" si="11"/>
        <v>0</v>
      </c>
      <c r="F95" s="33">
        <f t="shared" si="11"/>
        <v>0</v>
      </c>
      <c r="G95" s="33">
        <f t="shared" si="11"/>
        <v>0</v>
      </c>
      <c r="H95" s="33">
        <f t="shared" si="11"/>
        <v>0</v>
      </c>
      <c r="I95" s="33">
        <f t="shared" si="11"/>
        <v>0</v>
      </c>
    </row>
    <row r="96" spans="1:9" ht="25.5">
      <c r="A96" s="8" t="s">
        <v>143</v>
      </c>
      <c r="B96" s="34">
        <v>1872</v>
      </c>
      <c r="C96" s="34">
        <v>0</v>
      </c>
      <c r="D96" s="34">
        <v>0</v>
      </c>
      <c r="E96" s="28">
        <f>$D:$D/$B:$B*100</f>
        <v>0</v>
      </c>
      <c r="F96" s="28">
        <v>0</v>
      </c>
      <c r="G96" s="34">
        <v>0</v>
      </c>
      <c r="H96" s="28">
        <v>0</v>
      </c>
      <c r="I96" s="34">
        <v>0</v>
      </c>
    </row>
    <row r="97" spans="1:9" ht="12.75">
      <c r="A97" s="11" t="s">
        <v>41</v>
      </c>
      <c r="B97" s="33">
        <f>B98+B99+B100+B102+B103+B101</f>
        <v>1579439.2</v>
      </c>
      <c r="C97" s="33">
        <f>C98+C99+C100+C102+C103+C101</f>
        <v>567735.7999999999</v>
      </c>
      <c r="D97" s="33">
        <f>D98+D99+D100+D102+D103+D101</f>
        <v>554763.2000000001</v>
      </c>
      <c r="E97" s="33">
        <f>E98+E99+E102+E103+E100</f>
        <v>159.995769046852</v>
      </c>
      <c r="F97" s="33">
        <f>F98+F99+F102+F103+F100</f>
        <v>479.08892556107594</v>
      </c>
      <c r="G97" s="33">
        <f>G98+G99+G100+G102+G103+G101</f>
        <v>487789.49999999994</v>
      </c>
      <c r="H97" s="33">
        <f>H98+H99+H100+H102+H103+H101</f>
        <v>433.992226561203</v>
      </c>
      <c r="I97" s="33" t="e">
        <f>I98+I99+I100+I102+I103+I101</f>
        <v>#REF!</v>
      </c>
    </row>
    <row r="98" spans="1:9" ht="12.75">
      <c r="A98" s="8" t="s">
        <v>42</v>
      </c>
      <c r="B98" s="34">
        <v>612962.6</v>
      </c>
      <c r="C98" s="34">
        <v>214753.4</v>
      </c>
      <c r="D98" s="34">
        <v>209802.5</v>
      </c>
      <c r="E98" s="28">
        <f aca="true" t="shared" si="12" ref="E98:E110">$D:$D/$B:$B*100</f>
        <v>34.227618455024825</v>
      </c>
      <c r="F98" s="28">
        <f aca="true" t="shared" si="13" ref="F98:F106">$D:$D/$C:$C*100</f>
        <v>97.69461158705754</v>
      </c>
      <c r="G98" s="34">
        <v>199209.3</v>
      </c>
      <c r="H98" s="28">
        <f>$D:$D/$G:$G*100</f>
        <v>105.31762322341378</v>
      </c>
      <c r="I98" s="34" t="e">
        <f>D98-#REF!</f>
        <v>#REF!</v>
      </c>
    </row>
    <row r="99" spans="1:9" ht="12.75">
      <c r="A99" s="8" t="s">
        <v>43</v>
      </c>
      <c r="B99" s="34">
        <v>627529.2</v>
      </c>
      <c r="C99" s="34">
        <v>235276.2</v>
      </c>
      <c r="D99" s="34">
        <v>232187.2</v>
      </c>
      <c r="E99" s="28">
        <f t="shared" si="12"/>
        <v>37.00022245976761</v>
      </c>
      <c r="F99" s="28">
        <f t="shared" si="13"/>
        <v>98.68707502076283</v>
      </c>
      <c r="G99" s="34">
        <v>192866.9</v>
      </c>
      <c r="H99" s="28">
        <f>$D:$D/$G:$G*100</f>
        <v>120.38727225874426</v>
      </c>
      <c r="I99" s="34" t="e">
        <f>D99-#REF!</f>
        <v>#REF!</v>
      </c>
    </row>
    <row r="100" spans="1:9" ht="12.75">
      <c r="A100" s="8" t="s">
        <v>105</v>
      </c>
      <c r="B100" s="34">
        <v>123968.2</v>
      </c>
      <c r="C100" s="34">
        <v>54476.9</v>
      </c>
      <c r="D100" s="34">
        <v>52505.4</v>
      </c>
      <c r="E100" s="28">
        <f t="shared" si="12"/>
        <v>42.35392624882833</v>
      </c>
      <c r="F100" s="28">
        <f t="shared" si="13"/>
        <v>96.38103489736017</v>
      </c>
      <c r="G100" s="34">
        <v>41561.8</v>
      </c>
      <c r="H100" s="28">
        <v>0</v>
      </c>
      <c r="I100" s="34" t="e">
        <f>D100-#REF!</f>
        <v>#REF!</v>
      </c>
    </row>
    <row r="101" spans="1:9" ht="25.5" customHeight="1">
      <c r="A101" s="8" t="s">
        <v>123</v>
      </c>
      <c r="B101" s="34">
        <v>1624.6</v>
      </c>
      <c r="C101" s="34">
        <v>1010.7</v>
      </c>
      <c r="D101" s="34">
        <v>584.3</v>
      </c>
      <c r="E101" s="28">
        <f t="shared" si="12"/>
        <v>35.96577619106242</v>
      </c>
      <c r="F101" s="28">
        <f t="shared" si="13"/>
        <v>57.81141782922726</v>
      </c>
      <c r="G101" s="34">
        <v>0</v>
      </c>
      <c r="H101" s="28">
        <v>0</v>
      </c>
      <c r="I101" s="34" t="e">
        <f>D101-#REF!</f>
        <v>#REF!</v>
      </c>
    </row>
    <row r="102" spans="1:9" ht="12.75">
      <c r="A102" s="8" t="s">
        <v>44</v>
      </c>
      <c r="B102" s="34">
        <v>60533</v>
      </c>
      <c r="C102" s="34">
        <v>8251.3</v>
      </c>
      <c r="D102" s="34">
        <v>7376.9</v>
      </c>
      <c r="E102" s="28">
        <f t="shared" si="12"/>
        <v>12.186575917268266</v>
      </c>
      <c r="F102" s="28">
        <f t="shared" si="13"/>
        <v>89.4028819701138</v>
      </c>
      <c r="G102" s="34">
        <v>7712.2</v>
      </c>
      <c r="H102" s="28">
        <f>$D:$D/$G:$G*100</f>
        <v>95.65234304089624</v>
      </c>
      <c r="I102" s="34" t="e">
        <f>D102-#REF!</f>
        <v>#REF!</v>
      </c>
    </row>
    <row r="103" spans="1:9" ht="12.75">
      <c r="A103" s="8" t="s">
        <v>45</v>
      </c>
      <c r="B103" s="34">
        <v>152821.6</v>
      </c>
      <c r="C103" s="34">
        <v>53967.3</v>
      </c>
      <c r="D103" s="27">
        <v>52306.9</v>
      </c>
      <c r="E103" s="28">
        <f t="shared" si="12"/>
        <v>34.22742596596293</v>
      </c>
      <c r="F103" s="28">
        <f t="shared" si="13"/>
        <v>96.92332208578158</v>
      </c>
      <c r="G103" s="27">
        <v>46439.3</v>
      </c>
      <c r="H103" s="28">
        <f>$D:$D/$G:$G*100</f>
        <v>112.6349880381487</v>
      </c>
      <c r="I103" s="34" t="e">
        <f>D103-#REF!</f>
        <v>#REF!</v>
      </c>
    </row>
    <row r="104" spans="1:9" ht="25.5">
      <c r="A104" s="11" t="s">
        <v>46</v>
      </c>
      <c r="B104" s="33">
        <f>B105+B106</f>
        <v>198729.80000000002</v>
      </c>
      <c r="C104" s="33">
        <f>C105+C106</f>
        <v>43678</v>
      </c>
      <c r="D104" s="33">
        <f>D105+D106</f>
        <v>43615.5</v>
      </c>
      <c r="E104" s="25">
        <f t="shared" si="12"/>
        <v>21.947136262402516</v>
      </c>
      <c r="F104" s="25">
        <f t="shared" si="13"/>
        <v>99.85690736755346</v>
      </c>
      <c r="G104" s="33">
        <f>G105+G106</f>
        <v>40047.299999999996</v>
      </c>
      <c r="H104" s="25">
        <f>$D:$D/$G:$G*100</f>
        <v>108.90996396760832</v>
      </c>
      <c r="I104" s="33" t="e">
        <f>I105+I106</f>
        <v>#REF!</v>
      </c>
    </row>
    <row r="105" spans="1:9" ht="12.75">
      <c r="A105" s="8" t="s">
        <v>47</v>
      </c>
      <c r="B105" s="34">
        <v>188990.2</v>
      </c>
      <c r="C105" s="34">
        <v>41751.1</v>
      </c>
      <c r="D105" s="34">
        <v>41720.5</v>
      </c>
      <c r="E105" s="28">
        <f t="shared" si="12"/>
        <v>22.075483279027164</v>
      </c>
      <c r="F105" s="28">
        <f t="shared" si="13"/>
        <v>99.92670851785941</v>
      </c>
      <c r="G105" s="34">
        <v>39098.7</v>
      </c>
      <c r="H105" s="28">
        <f>$D:$D/$G:$G*100</f>
        <v>106.70559379212096</v>
      </c>
      <c r="I105" s="34" t="e">
        <f>D105-#REF!</f>
        <v>#REF!</v>
      </c>
    </row>
    <row r="106" spans="1:9" ht="25.5">
      <c r="A106" s="8" t="s">
        <v>48</v>
      </c>
      <c r="B106" s="34">
        <v>9739.6</v>
      </c>
      <c r="C106" s="34">
        <v>1926.9</v>
      </c>
      <c r="D106" s="34">
        <v>1895</v>
      </c>
      <c r="E106" s="28">
        <f t="shared" si="12"/>
        <v>19.45665119717442</v>
      </c>
      <c r="F106" s="28">
        <f t="shared" si="13"/>
        <v>98.34449115159063</v>
      </c>
      <c r="G106" s="34">
        <v>948.6</v>
      </c>
      <c r="H106" s="28">
        <v>0</v>
      </c>
      <c r="I106" s="34" t="e">
        <f>D106-#REF!</f>
        <v>#REF!</v>
      </c>
    </row>
    <row r="107" spans="1:9" ht="12.75">
      <c r="A107" s="11" t="s">
        <v>97</v>
      </c>
      <c r="B107" s="33">
        <f>B108</f>
        <v>42.5</v>
      </c>
      <c r="C107" s="33">
        <f>C108</f>
        <v>42.5</v>
      </c>
      <c r="D107" s="33">
        <f>D108</f>
        <v>4.5</v>
      </c>
      <c r="E107" s="25">
        <f t="shared" si="12"/>
        <v>10.588235294117647</v>
      </c>
      <c r="F107" s="25">
        <v>0</v>
      </c>
      <c r="G107" s="33">
        <f>G108</f>
        <v>4.6</v>
      </c>
      <c r="H107" s="25">
        <v>0</v>
      </c>
      <c r="I107" s="33" t="e">
        <f>D107-#REF!</f>
        <v>#REF!</v>
      </c>
    </row>
    <row r="108" spans="1:9" ht="12.75">
      <c r="A108" s="8" t="s">
        <v>98</v>
      </c>
      <c r="B108" s="34">
        <v>42.5</v>
      </c>
      <c r="C108" s="34">
        <v>42.5</v>
      </c>
      <c r="D108" s="34">
        <v>4.5</v>
      </c>
      <c r="E108" s="28">
        <f t="shared" si="12"/>
        <v>10.588235294117647</v>
      </c>
      <c r="F108" s="28">
        <v>0</v>
      </c>
      <c r="G108" s="34">
        <v>4.6</v>
      </c>
      <c r="H108" s="28">
        <v>0</v>
      </c>
      <c r="I108" s="34" t="e">
        <f>D108-#REF!</f>
        <v>#REF!</v>
      </c>
    </row>
    <row r="109" spans="1:9" ht="12.75">
      <c r="A109" s="11" t="s">
        <v>49</v>
      </c>
      <c r="B109" s="33">
        <f>B110+B111+B112+B113+B114</f>
        <v>129246.9</v>
      </c>
      <c r="C109" s="33">
        <f>C110+C111+C112+C113+C114</f>
        <v>48769</v>
      </c>
      <c r="D109" s="33">
        <f>D110+D111+D112+D113+D114</f>
        <v>19819.4</v>
      </c>
      <c r="E109" s="25">
        <f t="shared" si="12"/>
        <v>15.334526398698925</v>
      </c>
      <c r="F109" s="25">
        <f>$D:$D/$C:$C*100</f>
        <v>40.63934056470299</v>
      </c>
      <c r="G109" s="33">
        <f>G110+G111+G112+G113+G114</f>
        <v>53031.5</v>
      </c>
      <c r="H109" s="25">
        <v>0</v>
      </c>
      <c r="I109" s="33" t="e">
        <f>D109-#REF!</f>
        <v>#REF!</v>
      </c>
    </row>
    <row r="110" spans="1:9" ht="12.75">
      <c r="A110" s="8" t="s">
        <v>50</v>
      </c>
      <c r="B110" s="34">
        <v>2000</v>
      </c>
      <c r="C110" s="34">
        <v>639.4</v>
      </c>
      <c r="D110" s="34">
        <v>639.4</v>
      </c>
      <c r="E110" s="28">
        <f t="shared" si="12"/>
        <v>31.97</v>
      </c>
      <c r="F110" s="28">
        <v>0</v>
      </c>
      <c r="G110" s="34">
        <v>523.3</v>
      </c>
      <c r="H110" s="28">
        <v>0</v>
      </c>
      <c r="I110" s="34" t="e">
        <f>D110-#REF!</f>
        <v>#REF!</v>
      </c>
    </row>
    <row r="111" spans="1:9" ht="12.75">
      <c r="A111" s="8" t="s">
        <v>51</v>
      </c>
      <c r="B111" s="34">
        <v>0</v>
      </c>
      <c r="C111" s="34">
        <v>0</v>
      </c>
      <c r="D111" s="34">
        <v>0</v>
      </c>
      <c r="E111" s="28">
        <v>0</v>
      </c>
      <c r="F111" s="28">
        <v>0</v>
      </c>
      <c r="G111" s="34">
        <v>23857.5</v>
      </c>
      <c r="H111" s="28">
        <f>$D:$D/$G:$G*100</f>
        <v>0</v>
      </c>
      <c r="I111" s="34" t="e">
        <f>D111-#REF!</f>
        <v>#REF!</v>
      </c>
    </row>
    <row r="112" spans="1:9" ht="12.75">
      <c r="A112" s="8" t="s">
        <v>52</v>
      </c>
      <c r="B112" s="34">
        <v>39361.3</v>
      </c>
      <c r="C112" s="34">
        <v>17677</v>
      </c>
      <c r="D112" s="34">
        <v>16332.5</v>
      </c>
      <c r="E112" s="28">
        <f>$D:$D/$B:$B*100</f>
        <v>41.49380228803418</v>
      </c>
      <c r="F112" s="28">
        <f>$D:$D/$C:$C*100</f>
        <v>92.39407139220455</v>
      </c>
      <c r="G112" s="34">
        <v>13392.7</v>
      </c>
      <c r="H112" s="28">
        <v>0</v>
      </c>
      <c r="I112" s="34" t="e">
        <f>D112-#REF!</f>
        <v>#REF!</v>
      </c>
    </row>
    <row r="113" spans="1:9" ht="12.75">
      <c r="A113" s="8" t="s">
        <v>53</v>
      </c>
      <c r="B113" s="27">
        <v>85451.4</v>
      </c>
      <c r="C113" s="27">
        <v>29079.4</v>
      </c>
      <c r="D113" s="27">
        <v>1900.3</v>
      </c>
      <c r="E113" s="28">
        <f>$D:$D/$B:$B*100</f>
        <v>2.2238371752832604</v>
      </c>
      <c r="F113" s="28">
        <v>0</v>
      </c>
      <c r="G113" s="27">
        <v>1983.2</v>
      </c>
      <c r="H113" s="28">
        <v>0</v>
      </c>
      <c r="I113" s="34" t="e">
        <f>D113-#REF!</f>
        <v>#REF!</v>
      </c>
    </row>
    <row r="114" spans="1:9" ht="12.75">
      <c r="A114" s="8" t="s">
        <v>54</v>
      </c>
      <c r="B114" s="34">
        <v>2434.2</v>
      </c>
      <c r="C114" s="34">
        <v>1373.2</v>
      </c>
      <c r="D114" s="34">
        <v>947.2</v>
      </c>
      <c r="E114" s="28">
        <f>$D:$D/$B:$B*100</f>
        <v>38.912168268835764</v>
      </c>
      <c r="F114" s="28">
        <f>$D:$D/$C:$C*100</f>
        <v>68.97757063792601</v>
      </c>
      <c r="G114" s="34">
        <v>13274.8</v>
      </c>
      <c r="H114" s="28">
        <f>$D:$D/$G:$G*100</f>
        <v>7.135324072679062</v>
      </c>
      <c r="I114" s="34" t="e">
        <f>D114-#REF!</f>
        <v>#REF!</v>
      </c>
    </row>
    <row r="115" spans="1:9" ht="12.75">
      <c r="A115" s="11" t="s">
        <v>61</v>
      </c>
      <c r="B115" s="26">
        <f>B116+B117+B118</f>
        <v>69859.90000000001</v>
      </c>
      <c r="C115" s="26">
        <f>C116+C117+C118</f>
        <v>25310.500000000004</v>
      </c>
      <c r="D115" s="26">
        <f>D116+D117+D118</f>
        <v>25277.9</v>
      </c>
      <c r="E115" s="25">
        <f>$D:$D/$B:$B*100</f>
        <v>36.183704814922436</v>
      </c>
      <c r="F115" s="25">
        <f>$D:$D/$C:$C*100</f>
        <v>99.87119969972935</v>
      </c>
      <c r="G115" s="26">
        <f>G116+G117+G118</f>
        <v>24477.399999999998</v>
      </c>
      <c r="H115" s="25">
        <f>$D:$D/$G:$G*100</f>
        <v>103.27036368241727</v>
      </c>
      <c r="I115" s="33" t="e">
        <f>D115-#REF!</f>
        <v>#REF!</v>
      </c>
    </row>
    <row r="116" spans="1:9" ht="16.5" customHeight="1">
      <c r="A116" s="39" t="s">
        <v>62</v>
      </c>
      <c r="B116" s="27">
        <v>59740.3</v>
      </c>
      <c r="C116" s="27">
        <v>22651.4</v>
      </c>
      <c r="D116" s="27">
        <v>22651.4</v>
      </c>
      <c r="E116" s="28">
        <f>$D:$D/$B:$B*100</f>
        <v>37.916448360654364</v>
      </c>
      <c r="F116" s="28">
        <f>$D:$D/$C:$C*100</f>
        <v>100</v>
      </c>
      <c r="G116" s="27">
        <v>22009.2</v>
      </c>
      <c r="H116" s="28">
        <v>0</v>
      </c>
      <c r="I116" s="34" t="e">
        <f>D116-#REF!</f>
        <v>#REF!</v>
      </c>
    </row>
    <row r="117" spans="1:9" ht="16.5" customHeight="1">
      <c r="A117" s="12" t="s">
        <v>63</v>
      </c>
      <c r="B117" s="27">
        <v>6556.6</v>
      </c>
      <c r="C117" s="27">
        <v>1375.7</v>
      </c>
      <c r="D117" s="27">
        <v>1365.4</v>
      </c>
      <c r="E117" s="28">
        <v>0</v>
      </c>
      <c r="F117" s="28">
        <v>0</v>
      </c>
      <c r="G117" s="27">
        <v>1219.1</v>
      </c>
      <c r="H117" s="28">
        <v>0</v>
      </c>
      <c r="I117" s="34" t="e">
        <f>D117-#REF!</f>
        <v>#REF!</v>
      </c>
    </row>
    <row r="118" spans="1:9" ht="27.75" customHeight="1">
      <c r="A118" s="12" t="s">
        <v>73</v>
      </c>
      <c r="B118" s="27">
        <v>3563</v>
      </c>
      <c r="C118" s="27">
        <v>1283.4</v>
      </c>
      <c r="D118" s="27">
        <v>1261.1</v>
      </c>
      <c r="E118" s="28">
        <f>$D:$D/$B:$B*100</f>
        <v>35.39433062026382</v>
      </c>
      <c r="F118" s="28">
        <f>$D:$D/$C:$C*100</f>
        <v>98.26242792582201</v>
      </c>
      <c r="G118" s="27">
        <v>1249.1</v>
      </c>
      <c r="H118" s="28">
        <v>0</v>
      </c>
      <c r="I118" s="34" t="e">
        <f>D118-#REF!</f>
        <v>#REF!</v>
      </c>
    </row>
    <row r="119" spans="1:9" ht="26.25" customHeight="1">
      <c r="A119" s="13" t="s">
        <v>80</v>
      </c>
      <c r="B119" s="26">
        <f>B120</f>
        <v>200</v>
      </c>
      <c r="C119" s="26">
        <f>C120</f>
        <v>0.1</v>
      </c>
      <c r="D119" s="26">
        <f>D120</f>
        <v>0.1</v>
      </c>
      <c r="E119" s="28">
        <f>$D:$D/$B:$B*100</f>
        <v>0.05</v>
      </c>
      <c r="F119" s="28">
        <v>0</v>
      </c>
      <c r="G119" s="26">
        <f>G120</f>
        <v>0</v>
      </c>
      <c r="H119" s="28">
        <v>0</v>
      </c>
      <c r="I119" s="34" t="e">
        <f>D119-#REF!</f>
        <v>#REF!</v>
      </c>
    </row>
    <row r="120" spans="1:9" ht="27.75" customHeight="1">
      <c r="A120" s="12" t="s">
        <v>81</v>
      </c>
      <c r="B120" s="27">
        <v>200</v>
      </c>
      <c r="C120" s="27">
        <v>0.1</v>
      </c>
      <c r="D120" s="27">
        <v>0.1</v>
      </c>
      <c r="E120" s="28">
        <f>$D:$D/$B:$B*100</f>
        <v>0.05</v>
      </c>
      <c r="F120" s="28">
        <v>0</v>
      </c>
      <c r="G120" s="27">
        <v>0</v>
      </c>
      <c r="H120" s="28">
        <v>0</v>
      </c>
      <c r="I120" s="34" t="e">
        <f>D120-#REF!</f>
        <v>#REF!</v>
      </c>
    </row>
    <row r="121" spans="1:9" ht="18.75" customHeight="1">
      <c r="A121" s="72" t="s">
        <v>55</v>
      </c>
      <c r="B121" s="70">
        <f>B73+B82+B83+B84+B90+B97+B104+B107+B109+B115+B119+B95</f>
        <v>2472458.3999999994</v>
      </c>
      <c r="C121" s="70">
        <f>C73+C82+C83+C84+C90+C97+C104+C107+C109+C115+C119+C95</f>
        <v>774254.1</v>
      </c>
      <c r="D121" s="70">
        <f>D73+D82+D83+D84+D90+D97+D104+D107+D109+D115+D119+D95</f>
        <v>725225.5000000001</v>
      </c>
      <c r="E121" s="73">
        <f>$D:$D/$B:$B*100</f>
        <v>29.332161867718394</v>
      </c>
      <c r="F121" s="73">
        <f>$D:$D/$C:$C*100</f>
        <v>93.6676344368083</v>
      </c>
      <c r="G121" s="70">
        <f>G73+G84+G90+G97+G104+G107+G109+G115+G119+G82+G83</f>
        <v>685928</v>
      </c>
      <c r="H121" s="73">
        <f>$D:$D/$G:$G*100</f>
        <v>105.7290998472143</v>
      </c>
      <c r="I121" s="70" t="e">
        <f>I73+I82+I83+I84+I90+I97+I104+I107+I109+I115+I119+I95</f>
        <v>#REF!</v>
      </c>
    </row>
    <row r="122" spans="1:9" ht="17.25" customHeight="1">
      <c r="A122" s="71" t="s">
        <v>56</v>
      </c>
      <c r="B122" s="70">
        <f>B71-B121</f>
        <v>-33376.589999999385</v>
      </c>
      <c r="C122" s="70">
        <f>C71-C121</f>
        <v>-14338.889999999781</v>
      </c>
      <c r="D122" s="70">
        <f>D71-D121</f>
        <v>33342.42999999982</v>
      </c>
      <c r="E122" s="70">
        <f>E71-E121</f>
        <v>1.7683910899538162</v>
      </c>
      <c r="F122" s="70"/>
      <c r="G122" s="70">
        <f>G71-G121</f>
        <v>47880.01000000001</v>
      </c>
      <c r="H122" s="70"/>
      <c r="I122" s="70" t="e">
        <f>D122-#REF!</f>
        <v>#REF!</v>
      </c>
    </row>
    <row r="123" spans="1:9" ht="24" customHeight="1">
      <c r="A123" s="1" t="s">
        <v>57</v>
      </c>
      <c r="B123" s="27" t="s">
        <v>124</v>
      </c>
      <c r="C123" s="27"/>
      <c r="D123" s="27" t="s">
        <v>144</v>
      </c>
      <c r="E123" s="27"/>
      <c r="F123" s="27"/>
      <c r="G123" s="27"/>
      <c r="H123" s="26"/>
      <c r="I123" s="34"/>
    </row>
    <row r="124" spans="1:9" ht="12.75">
      <c r="A124" s="3" t="s">
        <v>58</v>
      </c>
      <c r="B124" s="26" t="e">
        <f>B126+B127</f>
        <v>#REF!</v>
      </c>
      <c r="C124" s="26">
        <f aca="true" t="shared" si="14" ref="C124:H124">C126+C127</f>
        <v>0</v>
      </c>
      <c r="D124" s="26">
        <f>D126+D127</f>
        <v>45134</v>
      </c>
      <c r="E124" s="26">
        <f t="shared" si="14"/>
        <v>0</v>
      </c>
      <c r="F124" s="26">
        <f t="shared" si="14"/>
        <v>0</v>
      </c>
      <c r="G124" s="26">
        <f t="shared" si="14"/>
        <v>0</v>
      </c>
      <c r="H124" s="26">
        <f t="shared" si="14"/>
        <v>0</v>
      </c>
      <c r="I124" s="70" t="e">
        <f>D124-#REF!</f>
        <v>#REF!</v>
      </c>
    </row>
    <row r="125" spans="1:9" ht="12" customHeight="1">
      <c r="A125" s="1" t="s">
        <v>6</v>
      </c>
      <c r="B125" s="27"/>
      <c r="C125" s="27"/>
      <c r="D125" s="27"/>
      <c r="E125" s="27"/>
      <c r="F125" s="27"/>
      <c r="G125" s="27"/>
      <c r="H125" s="35"/>
      <c r="I125" s="74" t="e">
        <f>D125-#REF!</f>
        <v>#REF!</v>
      </c>
    </row>
    <row r="126" spans="1:9" ht="12.75">
      <c r="A126" s="5" t="s">
        <v>59</v>
      </c>
      <c r="B126" s="27" t="e">
        <f>#REF!</f>
        <v>#REF!</v>
      </c>
      <c r="C126" s="27"/>
      <c r="D126" s="27">
        <v>25553</v>
      </c>
      <c r="E126" s="27"/>
      <c r="F126" s="27"/>
      <c r="G126" s="27"/>
      <c r="H126" s="35"/>
      <c r="I126" s="74" t="e">
        <f>D126-#REF!</f>
        <v>#REF!</v>
      </c>
    </row>
    <row r="127" spans="1:9" ht="12.75">
      <c r="A127" s="1" t="s">
        <v>60</v>
      </c>
      <c r="B127" s="27" t="e">
        <f>#REF!</f>
        <v>#REF!</v>
      </c>
      <c r="C127" s="27"/>
      <c r="D127" s="27">
        <v>19581</v>
      </c>
      <c r="E127" s="27"/>
      <c r="F127" s="27"/>
      <c r="G127" s="27"/>
      <c r="H127" s="35"/>
      <c r="I127" s="74" t="e">
        <f>D127-#REF!</f>
        <v>#REF!</v>
      </c>
    </row>
    <row r="128" spans="1:9" ht="12.75">
      <c r="A128" s="3" t="s">
        <v>99</v>
      </c>
      <c r="B128" s="38">
        <f>B129+B130</f>
        <v>0</v>
      </c>
      <c r="C128" s="38"/>
      <c r="D128" s="38">
        <v>0</v>
      </c>
      <c r="E128" s="38"/>
      <c r="F128" s="38"/>
      <c r="G128" s="38"/>
      <c r="H128" s="40"/>
      <c r="I128" s="74" t="e">
        <f>D128-#REF!</f>
        <v>#REF!</v>
      </c>
    </row>
    <row r="129" spans="1:9" ht="12.75">
      <c r="A129" s="2" t="s">
        <v>100</v>
      </c>
      <c r="B129" s="36">
        <v>0</v>
      </c>
      <c r="C129" s="36"/>
      <c r="D129" s="36">
        <v>0</v>
      </c>
      <c r="E129" s="36"/>
      <c r="F129" s="36"/>
      <c r="G129" s="36"/>
      <c r="H129" s="37"/>
      <c r="I129" s="74" t="e">
        <f>D129-#REF!</f>
        <v>#REF!</v>
      </c>
    </row>
    <row r="130" spans="1:9" ht="12.75">
      <c r="A130" s="2" t="s">
        <v>101</v>
      </c>
      <c r="B130" s="36">
        <v>0</v>
      </c>
      <c r="C130" s="36"/>
      <c r="D130" s="36">
        <v>0</v>
      </c>
      <c r="E130" s="36"/>
      <c r="F130" s="36"/>
      <c r="G130" s="36"/>
      <c r="H130" s="37"/>
      <c r="I130" s="74" t="e">
        <f>D130-#REF!</f>
        <v>#REF!</v>
      </c>
    </row>
    <row r="131" spans="1:9" ht="12.75">
      <c r="A131" s="15"/>
      <c r="B131" s="24"/>
      <c r="C131" s="24"/>
      <c r="D131" s="24"/>
      <c r="E131" s="24"/>
      <c r="F131" s="24"/>
      <c r="G131" s="24"/>
      <c r="H131" s="24"/>
      <c r="I131" s="24"/>
    </row>
    <row r="133" ht="12" customHeight="1">
      <c r="A133" s="21" t="s">
        <v>79</v>
      </c>
    </row>
    <row r="134" ht="12.75" customHeight="1" hidden="1"/>
    <row r="136" spans="1:9" ht="31.5">
      <c r="A136" s="67" t="s">
        <v>139</v>
      </c>
      <c r="C136" s="23" t="s">
        <v>140</v>
      </c>
      <c r="D136" s="23"/>
      <c r="E136" s="23"/>
      <c r="F136" s="23"/>
      <c r="G136" s="23"/>
      <c r="H136" s="23"/>
      <c r="I136" s="24"/>
    </row>
  </sheetData>
  <sheetProtection/>
  <mergeCells count="5">
    <mergeCell ref="A1:H1"/>
    <mergeCell ref="A2:H2"/>
    <mergeCell ref="A3:H3"/>
    <mergeCell ref="A6:I6"/>
    <mergeCell ref="A72:I72"/>
  </mergeCells>
  <printOptions/>
  <pageMargins left="0.3937007874015748" right="0.15748031496062992" top="0" bottom="0" header="0.35433070866141736" footer="0.275590551181102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Храменкова</dc:creator>
  <cp:keywords/>
  <dc:description/>
  <cp:lastModifiedBy>user11</cp:lastModifiedBy>
  <cp:lastPrinted>2023-04-10T07:16:15Z</cp:lastPrinted>
  <dcterms:created xsi:type="dcterms:W3CDTF">2010-09-10T01:16:58Z</dcterms:created>
  <dcterms:modified xsi:type="dcterms:W3CDTF">2023-07-11T10:04:32Z</dcterms:modified>
  <cp:category/>
  <cp:version/>
  <cp:contentType/>
  <cp:contentStatus/>
</cp:coreProperties>
</file>