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май1" sheetId="10" state="hidden" r:id="rId10"/>
    <sheet name="октябрь" sheetId="11" r:id="rId11"/>
    <sheet name="ноябрь" sheetId="12" r:id="rId12"/>
    <sheet name="декабрь" sheetId="13" r:id="rId13"/>
  </sheets>
  <externalReferences>
    <externalReference r:id="rId16"/>
    <externalReference r:id="rId17"/>
    <externalReference r:id="rId18"/>
  </externalReferences>
  <definedNames>
    <definedName name="_xlnm.Print_Titles" localSheetId="7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9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  <definedName name="_xlnm.Print_Area" localSheetId="7">'август'!$A$1:$I$142</definedName>
    <definedName name="_xlnm.Print_Area" localSheetId="12">'декабрь'!$A$1:$I$142</definedName>
    <definedName name="_xlnm.Print_Area" localSheetId="6">'Июль'!$A$1:$I$142</definedName>
    <definedName name="_xlnm.Print_Area" localSheetId="11">'ноябрь'!$A$1:$I$142</definedName>
    <definedName name="_xlnm.Print_Area" localSheetId="10">'октябрь'!$A$1:$I$142</definedName>
    <definedName name="_xlnm.Print_Area" localSheetId="8">'сентябрь'!$A$1:$I$142</definedName>
  </definedNames>
  <calcPr fullCalcOnLoad="1"/>
</workbook>
</file>

<file path=xl/sharedStrings.xml><?xml version="1.0" encoding="utf-8"?>
<sst xmlns="http://schemas.openxmlformats.org/spreadsheetml/2006/main" count="1946" uniqueCount="198">
  <si>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</si>
  <si>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</si>
  <si>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</si>
  <si>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</si>
  <si>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</si>
  <si>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</si>
  <si>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</si>
  <si>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</si>
  <si>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</si>
  <si>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</si>
  <si>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</si>
  <si>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</si>
  <si>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</si>
  <si>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</si>
  <si>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</si>
  <si>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</si>
  <si>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</si>
  <si>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</si>
  <si>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</si>
  <si>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</si>
  <si>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</si>
  <si>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</si>
  <si>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</si>
  <si>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</si>
  <si>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</si>
  <si>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</si>
  <si>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</si>
  <si>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</si>
  <si>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</si>
  <si>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</si>
  <si>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</si>
  <si>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</si>
  <si>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</si>
  <si>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</si>
  <si>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</si>
  <si>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</si>
  <si>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</si>
  <si>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</si>
  <si>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</si>
  <si>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</si>
  <si>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</si>
  <si>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</si>
  <si>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</si>
  <si>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</si>
  <si>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</si>
  <si>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</si>
  <si>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</si>
  <si>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</si>
  <si>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</si>
  <si>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</si>
  <si>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</si>
  <si>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</si>
  <si>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</si>
  <si>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</si>
  <si>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</si>
  <si>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</si>
  <si>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</si>
  <si>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</si>
  <si>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</si>
  <si>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</si>
  <si>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</si>
  <si>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</si>
  <si>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</si>
  <si>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</si>
  <si>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</si>
  <si>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</si>
  <si>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</si>
  <si>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</si>
  <si>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</si>
  <si>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</si>
  <si>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</si>
  <si>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</si>
  <si>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</si>
  <si>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</si>
  <si>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</si>
  <si>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</si>
  <si>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</si>
  <si>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</si>
  <si>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</si>
  <si>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</si>
  <si>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</si>
  <si>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</si>
  <si>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</si>
  <si>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</si>
  <si>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</si>
  <si>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</si>
  <si>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</si>
  <si>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</si>
  <si>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</si>
  <si>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</si>
  <si>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</si>
  <si>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</si>
  <si>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</si>
  <si>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</si>
  <si>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</si>
  <si>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</si>
  <si>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</si>
  <si>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</si>
  <si>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</si>
  <si>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</si>
  <si>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</si>
  <si>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</si>
  <si>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</si>
  <si>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</si>
  <si>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</si>
  <si>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</si>
  <si>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</si>
  <si>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</si>
  <si>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</si>
  <si>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</si>
  <si>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</si>
  <si>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</si>
  <si>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</si>
  <si>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</si>
  <si>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</si>
  <si>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</si>
  <si>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</si>
  <si>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</si>
  <si>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</si>
  <si>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</si>
  <si>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</si>
  <si>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</si>
  <si>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</si>
  <si>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</si>
  <si>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</si>
  <si>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</si>
  <si>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</si>
  <si>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</si>
  <si>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</si>
  <si>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</si>
  <si>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</si>
  <si>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</si>
  <si>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</si>
  <si>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</si>
  <si>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</si>
  <si>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</si>
  <si>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</si>
  <si>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</si>
  <si>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</si>
  <si>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</si>
  <si>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</si>
  <si>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</si>
  <si>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</si>
  <si>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</si>
  <si>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</si>
  <si>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</si>
  <si>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</si>
  <si>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</si>
  <si>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</si>
  <si>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</si>
  <si>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</si>
  <si>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</si>
  <si>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</si>
  <si>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</si>
  <si>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</si>
  <si>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</si>
  <si>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</si>
  <si>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</si>
  <si>
    <t>План за 3 мес 2022 г.</t>
  </si>
  <si>
    <t>на 01 апреля 2022 года</t>
  </si>
  <si>
    <t>На 01.04.2022</t>
  </si>
  <si>
    <t>На 01.04.2021</t>
  </si>
  <si>
    <t>На 01.05.2021</t>
  </si>
  <si>
    <t>на 01 мая 2022 года</t>
  </si>
  <si>
    <t>План за 4 мес 2022 г.</t>
  </si>
  <si>
    <t>На 01.01.2022</t>
  </si>
  <si>
    <t>на 01 июня 2022 года</t>
  </si>
  <si>
    <t>План за 5 мес 2022 г.</t>
  </si>
  <si>
    <t>На 01.06.2021</t>
  </si>
  <si>
    <t>Другие вопросы в области охраны окружающей среды</t>
  </si>
  <si>
    <t>На 01.06.2022</t>
  </si>
  <si>
    <t>на 01 июля 2022 года</t>
  </si>
  <si>
    <t>На 01.07.2021</t>
  </si>
  <si>
    <t>На 01.07.2022</t>
  </si>
  <si>
    <t>План за 7 мес 2022 г.</t>
  </si>
  <si>
    <t>на 01 августа 2022 года</t>
  </si>
  <si>
    <t>На 01.08.2022</t>
  </si>
  <si>
    <t>На 01.08.2021</t>
  </si>
  <si>
    <t>на 01 сентября 2022 года</t>
  </si>
  <si>
    <t>План за 8 мес 2022 г.</t>
  </si>
  <si>
    <t>На 01.09.2021</t>
  </si>
  <si>
    <t>На 01.09.2022</t>
  </si>
  <si>
    <t>на 01 октября 2022 года</t>
  </si>
  <si>
    <t>На 01.10.2021</t>
  </si>
  <si>
    <t>План за 9 мес 2022 г.</t>
  </si>
  <si>
    <t>На 01.10.2022</t>
  </si>
  <si>
    <t>на 01 ноября 2022 года</t>
  </si>
  <si>
    <t>План за 10 мес 2022 г.</t>
  </si>
  <si>
    <t xml:space="preserve">Другие вопросы в области жилищно-комунального хозяйства </t>
  </si>
  <si>
    <t>На 01.11.2022</t>
  </si>
  <si>
    <t>На 01.11.2021</t>
  </si>
  <si>
    <t>на 01 декабря 2022 года</t>
  </si>
  <si>
    <t>На 01.12.2022</t>
  </si>
  <si>
    <t>На 01.12.2021</t>
  </si>
  <si>
    <t>План за 11 мес 2022 г.</t>
  </si>
  <si>
    <t>на 01 января 2023 года</t>
  </si>
  <si>
    <t>План за 12 мес 2022 г.</t>
  </si>
  <si>
    <t>На 01.01.2023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</si>
</sst>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178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1%20&#1075;&#1086;&#1076;\&#1057;&#1072;&#1081;&#1090;\&#1043;&#1054;&#1058;&#1054;&#1042;&#1054;\&#1088;&#1072;&#1089;&#1093;&#1086;&#1076;&#1099;%20&#1085;&#1072;%2001.11.2021\&#1076;&#1086;&#1093;&#1086;&#1076;&#1099;-&#1088;&#1072;&#1089;&#1093;&#1086;&#1076;&#1099;%20&#1085;&#1072;%2001.11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ux\2022%20&#1075;&#1086;&#1076;\&#1057;&#1072;&#1081;&#1090;\&#1043;&#1054;&#1058;&#1054;&#1042;&#1054;\&#1076;&#1086;&#1093;&#1086;&#1076;&#1099;-&#1088;&#1072;&#1089;&#1093;&#1086;&#1076;&#1099;%20&#1085;&#1072;%2001.12.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1%20&#1075;&#1086;&#1076;\&#1057;&#1072;&#1081;&#1090;\&#1043;&#1054;&#1058;&#1054;&#1042;&#1054;\&#1056;&#1072;&#1089;&#1093;&#1086;&#1076;&#1099;%20&#1085;&#1072;%2001.01.2022\&#1076;&#1086;&#1093;&#1086;&#1076;&#1099;-&#1088;&#1072;&#1089;&#1093;&#1086;&#1076;&#1099;%20&#1085;&#1072;%2001.0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  <sheetName val="май"/>
      <sheetName val="июнь"/>
      <sheetName val="июль"/>
      <sheetName val="август"/>
      <sheetName val="сентябрь"/>
      <sheetName val="октябр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12">
        <row r="7">
          <cell r="D7">
            <v>598872.4091000002</v>
          </cell>
        </row>
        <row r="8">
          <cell r="D8">
            <v>305723.71226</v>
          </cell>
        </row>
        <row r="9">
          <cell r="D9">
            <v>10340.24195</v>
          </cell>
        </row>
        <row r="10">
          <cell r="D10">
            <v>295383.47031</v>
          </cell>
        </row>
        <row r="11">
          <cell r="D11">
            <v>280294.90177999996</v>
          </cell>
        </row>
        <row r="12">
          <cell r="D12">
            <v>6543.3291500000005</v>
          </cell>
        </row>
        <row r="13">
          <cell r="D13">
            <v>3662.65036</v>
          </cell>
        </row>
        <row r="14">
          <cell r="D14">
            <v>2733.2036000000003</v>
          </cell>
        </row>
        <row r="15">
          <cell r="D15">
            <v>2149.38542</v>
          </cell>
        </row>
        <row r="16">
          <cell r="D16">
            <v>24564.84542</v>
          </cell>
        </row>
        <row r="17">
          <cell r="D17">
            <v>11340.59643</v>
          </cell>
        </row>
        <row r="18">
          <cell r="D18">
            <v>79.75536</v>
          </cell>
        </row>
        <row r="19">
          <cell r="D19">
            <v>15078.35645</v>
          </cell>
        </row>
        <row r="20">
          <cell r="D20">
            <v>-1933.86282</v>
          </cell>
        </row>
        <row r="21">
          <cell r="D21">
            <v>129449.99458</v>
          </cell>
        </row>
        <row r="22">
          <cell r="D22">
            <v>94935.82856000001</v>
          </cell>
        </row>
        <row r="23">
          <cell r="D23">
            <v>7438.26358</v>
          </cell>
        </row>
        <row r="24">
          <cell r="D24">
            <v>1304.34133</v>
          </cell>
        </row>
        <row r="25">
          <cell r="D25">
            <v>25771.56111</v>
          </cell>
        </row>
        <row r="26">
          <cell r="D26">
            <v>38633.31844</v>
          </cell>
        </row>
        <row r="27">
          <cell r="D27">
            <v>21423.70101</v>
          </cell>
        </row>
        <row r="28">
          <cell r="D28">
            <v>17209.61743</v>
          </cell>
        </row>
        <row r="29">
          <cell r="D29">
            <v>15549.90025</v>
          </cell>
        </row>
        <row r="30">
          <cell r="D30">
            <v>15384.70025</v>
          </cell>
        </row>
        <row r="31">
          <cell r="D31">
            <v>90</v>
          </cell>
        </row>
        <row r="32">
          <cell r="D32">
            <v>75.2</v>
          </cell>
        </row>
        <row r="33">
          <cell r="D33">
            <v>16.69433</v>
          </cell>
        </row>
        <row r="34">
          <cell r="D34">
            <v>14.79767</v>
          </cell>
        </row>
        <row r="35">
          <cell r="D35">
            <v>1.89666</v>
          </cell>
        </row>
        <row r="36">
          <cell r="D36">
            <v>65486.01154000001</v>
          </cell>
        </row>
        <row r="38">
          <cell r="D38">
            <v>41930.901450000005</v>
          </cell>
        </row>
        <row r="39">
          <cell r="D39">
            <v>1256.48263</v>
          </cell>
        </row>
        <row r="40">
          <cell r="D40">
            <v>418.54062</v>
          </cell>
        </row>
        <row r="41">
          <cell r="D41">
            <v>14335.89048</v>
          </cell>
        </row>
        <row r="42">
          <cell r="D42">
            <v>77.52887</v>
          </cell>
        </row>
        <row r="43">
          <cell r="D43">
            <v>2879.9513500000003</v>
          </cell>
        </row>
        <row r="44">
          <cell r="D44">
            <v>4586.7161399999995</v>
          </cell>
        </row>
        <row r="45">
          <cell r="D45">
            <v>627.56034</v>
          </cell>
        </row>
        <row r="46">
          <cell r="D46">
            <v>2466.0608199999997</v>
          </cell>
        </row>
        <row r="47">
          <cell r="D47">
            <v>6832.627710000001</v>
          </cell>
        </row>
        <row r="48">
          <cell r="D48">
            <v>52.69</v>
          </cell>
        </row>
        <row r="49">
          <cell r="D49">
            <v>1497.245</v>
          </cell>
        </row>
        <row r="61">
          <cell r="D61">
            <v>5282.69271</v>
          </cell>
        </row>
        <row r="63">
          <cell r="D63">
            <v>9481.3806</v>
          </cell>
        </row>
        <row r="64">
          <cell r="D64">
            <v>40.30281</v>
          </cell>
        </row>
        <row r="65">
          <cell r="D65">
            <v>598872.4091000002</v>
          </cell>
        </row>
        <row r="66">
          <cell r="D66">
            <v>2458871.80811</v>
          </cell>
        </row>
        <row r="76">
          <cell r="D76">
            <v>182118.59046</v>
          </cell>
        </row>
        <row r="77">
          <cell r="D77">
            <v>2972.5481099999997</v>
          </cell>
        </row>
        <row r="78">
          <cell r="D78">
            <v>6194.38304</v>
          </cell>
        </row>
        <row r="79">
          <cell r="D79">
            <v>61124.48995</v>
          </cell>
        </row>
        <row r="80">
          <cell r="D80">
            <v>28.4</v>
          </cell>
        </row>
        <row r="81">
          <cell r="D81">
            <v>14736.52356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97062.2458</v>
          </cell>
        </row>
        <row r="85">
          <cell r="D85">
            <v>381.4851</v>
          </cell>
        </row>
        <row r="86">
          <cell r="D86">
            <v>7620.57363</v>
          </cell>
        </row>
        <row r="87">
          <cell r="D87">
            <v>349352.11462999997</v>
          </cell>
        </row>
        <row r="89">
          <cell r="D89">
            <v>0</v>
          </cell>
        </row>
        <row r="90">
          <cell r="D90">
            <v>26130.35352</v>
          </cell>
        </row>
        <row r="91">
          <cell r="D91">
            <v>277528.32771</v>
          </cell>
        </row>
        <row r="92">
          <cell r="D92">
            <v>45693.4334</v>
          </cell>
        </row>
        <row r="93">
          <cell r="D93">
            <v>391666.56244</v>
          </cell>
        </row>
        <row r="94">
          <cell r="D94">
            <v>112136.96977</v>
          </cell>
        </row>
        <row r="95">
          <cell r="D95">
            <v>16563.68515</v>
          </cell>
        </row>
        <row r="96">
          <cell r="D96">
            <v>116762.91143000001</v>
          </cell>
        </row>
        <row r="97">
          <cell r="D97">
            <v>146202.99609</v>
          </cell>
        </row>
        <row r="98">
          <cell r="D98">
            <v>1777.27</v>
          </cell>
        </row>
        <row r="99">
          <cell r="D99">
            <v>1777.27</v>
          </cell>
        </row>
        <row r="100">
          <cell r="D100">
            <v>0</v>
          </cell>
        </row>
        <row r="101">
          <cell r="D101">
            <v>1626242.99951</v>
          </cell>
        </row>
        <row r="102">
          <cell r="D102">
            <v>615920.00218</v>
          </cell>
        </row>
        <row r="103">
          <cell r="D103">
            <v>653485.18689</v>
          </cell>
        </row>
        <row r="104">
          <cell r="D104">
            <v>132370.96569</v>
          </cell>
        </row>
        <row r="105">
          <cell r="D105">
            <v>1048.533</v>
          </cell>
        </row>
        <row r="106">
          <cell r="D106">
            <v>62411.56865</v>
          </cell>
        </row>
        <row r="107">
          <cell r="D107">
            <v>161006.7431</v>
          </cell>
        </row>
        <row r="108">
          <cell r="D108">
            <v>257080.69365</v>
          </cell>
        </row>
        <row r="109">
          <cell r="D109">
            <v>219544.98523</v>
          </cell>
        </row>
        <row r="110">
          <cell r="D110">
            <v>37535.70842</v>
          </cell>
        </row>
        <row r="111">
          <cell r="D111">
            <v>42.45</v>
          </cell>
        </row>
        <row r="112">
          <cell r="D112">
            <v>42.45</v>
          </cell>
        </row>
        <row r="113">
          <cell r="D113">
            <v>125941.60414</v>
          </cell>
        </row>
        <row r="114">
          <cell r="D114">
            <v>2816.3516600000003</v>
          </cell>
        </row>
        <row r="115">
          <cell r="D115">
            <v>0</v>
          </cell>
        </row>
        <row r="116">
          <cell r="D116">
            <v>68447.06388</v>
          </cell>
        </row>
        <row r="117">
          <cell r="D117">
            <v>52866.71814</v>
          </cell>
        </row>
        <row r="118">
          <cell r="D118">
            <v>1811.47046</v>
          </cell>
        </row>
        <row r="119">
          <cell r="D119">
            <v>86832.42162</v>
          </cell>
        </row>
        <row r="120">
          <cell r="D120">
            <v>66057.19789</v>
          </cell>
        </row>
        <row r="121">
          <cell r="D121">
            <v>17085.470739999997</v>
          </cell>
        </row>
        <row r="122">
          <cell r="D122">
            <v>3689.7529900000004</v>
          </cell>
        </row>
        <row r="123">
          <cell r="D123">
            <v>14.90306</v>
          </cell>
        </row>
        <row r="124">
          <cell r="D124">
            <v>14.90306</v>
          </cell>
        </row>
        <row r="125">
          <cell r="D125">
            <v>3029071.66824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zoomScalePageLayoutView="0" workbookViewId="0" topLeftCell="A1">
      <pane xSplit="1" ySplit="6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150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33857.785299999996</v>
      </c>
      <c r="D7" s="35">
        <f>D8+D16+D21+D26+D29+D36+D45+D46+D47+D51+D62</f>
        <v>34369.89031</v>
      </c>
      <c r="E7" s="26">
        <f aca="true" t="shared" si="0" ref="E7:E38">$D:$D/$B:$B*100</f>
        <v>5.103535172334326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f t="shared" si="0"/>
        <v>4.972594314709293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f t="shared" si="0"/>
        <v>5.997143719735269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26">
        <f t="shared" si="0"/>
        <v>4.946512570014249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f t="shared" si="0"/>
        <v>3.418071040322802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f t="shared" si="0"/>
        <v>1.0974748129291059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f t="shared" si="0"/>
        <v>1.733760485404317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f t="shared" si="0"/>
        <v>7.882944459517074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f t="shared" si="0"/>
        <v>225.55397394556945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f t="shared" si="0"/>
        <v>9.366384147810239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f t="shared" si="0"/>
        <v>9.518015076556535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f t="shared" si="0"/>
        <v>10.119177688326623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f t="shared" si="0"/>
        <v>8.843576674614699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f t="shared" si="0"/>
        <v>5.0569716488711896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f t="shared" si="0"/>
        <v>4.459102658764014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f t="shared" si="0"/>
        <v>4.189282045395593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 t="e">
        <f t="shared" si="0"/>
        <v>#DIV/0!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f t="shared" si="0"/>
        <v>10.242570281124499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f t="shared" si="0"/>
        <v>5.312902403854766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f t="shared" si="0"/>
        <v>3.3016656090624923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f t="shared" si="0"/>
        <v>3.0824368181655952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f t="shared" si="0"/>
        <v>3.620626986920223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f t="shared" si="0"/>
        <v>6.373755859799449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f t="shared" si="0"/>
        <v>6.347924732460612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f t="shared" si="0"/>
        <v>2.380952380952381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f t="shared" si="0"/>
        <v>20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 t="shared" si="0"/>
        <v>#DIV/0!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 t="shared" si="0"/>
        <v>#DIV/0!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 t="shared" si="0"/>
        <v>#DIV/0!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f t="shared" si="0"/>
        <v>4.529240801691572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e">
        <f t="shared" si="0"/>
        <v>#DIV/0!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f t="shared" si="0"/>
        <v>4.942110886652562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f aca="true" t="shared" si="1" ref="E39:E72">$D:$D/$B:$B*100</f>
        <v>2.2148958779247985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f t="shared" si="1"/>
        <v>0.8187410920815907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f t="shared" si="1"/>
        <v>5.709891943925173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>
        <f t="shared" si="1"/>
        <v>0</v>
      </c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f t="shared" si="1"/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f t="shared" si="1"/>
        <v>2.1700920790453386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f t="shared" si="1"/>
        <v>12.551358716912242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f t="shared" si="1"/>
        <v>1.6762991256976025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f t="shared" si="1"/>
        <v>7.018554615384616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 t="shared" si="1"/>
        <v>#DIV/0!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 t="shared" si="1"/>
        <v>#DIV/0!</v>
      </c>
      <c r="F49" s="26">
        <v>37.14</v>
      </c>
      <c r="G49" s="28">
        <v>0</v>
      </c>
      <c r="H49" s="26">
        <v>0</v>
      </c>
      <c r="I49" s="28">
        <v>0</v>
      </c>
    </row>
    <row r="50" spans="1:9" ht="21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f t="shared" si="1"/>
        <v>7.018554615384616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f t="shared" si="1"/>
        <v>2.0310742993074604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 t="shared" si="1"/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 t="shared" si="1"/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 t="shared" si="1"/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 t="shared" si="1"/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 t="shared" si="1"/>
        <v>0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 t="shared" si="1"/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 t="shared" si="1"/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 t="shared" si="1"/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 t="shared" si="1"/>
        <v>0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 t="shared" si="1"/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f t="shared" si="1"/>
        <v>0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f t="shared" si="1"/>
        <v>5.103535172334326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f t="shared" si="1"/>
        <v>1.0846075722660244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f t="shared" si="1"/>
        <v>2.1103639517135266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f t="shared" si="1"/>
        <v>4.050143622729843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f t="shared" si="1"/>
        <v>0.08335317764156112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f t="shared" si="1"/>
        <v>2.9556068053171365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f t="shared" si="1"/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>
        <f t="shared" si="1"/>
        <v>0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e">
        <f t="shared" si="1"/>
        <v>#DIV/0!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f t="shared" si="1"/>
        <v>1.9548546044949895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2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2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2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2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2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2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2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2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2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2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2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2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2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2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2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2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 aca="true" t="shared" si="3" ref="E103:E121">$D:$D/$B:$B*100</f>
        <v>3.1849018428964406</v>
      </c>
      <c r="F103" s="29">
        <f aca="true" t="shared" si="4" ref="F103:F111">$D:$D/$C:$C*100</f>
        <v>100</v>
      </c>
      <c r="G103" s="36">
        <v>21981.4</v>
      </c>
      <c r="H103" s="29">
        <f>$D:$D/$G:$G*100</f>
        <v>87.16655899988172</v>
      </c>
      <c r="I103" s="36">
        <f t="shared" si="2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 t="shared" si="3"/>
        <v>2.9252299185638804</v>
      </c>
      <c r="F104" s="29">
        <f t="shared" si="4"/>
        <v>99.82217696553941</v>
      </c>
      <c r="G104" s="36">
        <v>20504.1</v>
      </c>
      <c r="H104" s="29">
        <f>$D:$D/$G:$G*100</f>
        <v>90.83949063845768</v>
      </c>
      <c r="I104" s="36">
        <f t="shared" si="2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 t="shared" si="3"/>
        <v>2.2653752181154627</v>
      </c>
      <c r="F105" s="29">
        <f t="shared" si="4"/>
        <v>100</v>
      </c>
      <c r="G105" s="36">
        <v>3925.6</v>
      </c>
      <c r="H105" s="29">
        <f>$D:$D/$G:$G*100</f>
        <v>81.44258202567761</v>
      </c>
      <c r="I105" s="36">
        <f t="shared" si="2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 t="shared" si="3"/>
        <v>0</v>
      </c>
      <c r="F106" s="29">
        <f t="shared" si="4"/>
        <v>0</v>
      </c>
      <c r="G106" s="36">
        <v>0</v>
      </c>
      <c r="H106" s="29">
        <v>0</v>
      </c>
      <c r="I106" s="36">
        <f t="shared" si="2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 t="shared" si="3"/>
        <v>1.0457083590829106</v>
      </c>
      <c r="F107" s="29">
        <f t="shared" si="4"/>
        <v>100</v>
      </c>
      <c r="G107" s="36">
        <v>631.4</v>
      </c>
      <c r="H107" s="29">
        <f>$D:$D/$G:$G*100</f>
        <v>86.60753880266077</v>
      </c>
      <c r="I107" s="36">
        <f t="shared" si="2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 t="shared" si="3"/>
        <v>2.122903229682862</v>
      </c>
      <c r="F108" s="29">
        <f t="shared" si="4"/>
        <v>81.9594711595764</v>
      </c>
      <c r="G108" s="28">
        <v>3395.4</v>
      </c>
      <c r="H108" s="29">
        <f>$D:$D/$G:$G*100</f>
        <v>107.33639630087765</v>
      </c>
      <c r="I108" s="36">
        <f t="shared" si="2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 t="shared" si="3"/>
        <v>1.2063362133104132</v>
      </c>
      <c r="F109" s="26">
        <f t="shared" si="4"/>
        <v>100</v>
      </c>
      <c r="G109" s="35">
        <f>G110+G111</f>
        <v>3121.8</v>
      </c>
      <c r="H109" s="26">
        <f>$D:$D/$G:$G*100</f>
        <v>108.81542699724518</v>
      </c>
      <c r="I109" s="35">
        <f t="shared" si="2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 t="shared" si="3"/>
        <v>1.6958886388936907</v>
      </c>
      <c r="F110" s="29">
        <f t="shared" si="4"/>
        <v>100</v>
      </c>
      <c r="G110" s="36">
        <v>3045.8</v>
      </c>
      <c r="H110" s="29">
        <f>$D:$D/$G:$G*100</f>
        <v>109.65920283669315</v>
      </c>
      <c r="I110" s="36">
        <f t="shared" si="2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 t="shared" si="3"/>
        <v>0.06733643978775554</v>
      </c>
      <c r="F111" s="29">
        <f t="shared" si="4"/>
        <v>100</v>
      </c>
      <c r="G111" s="36">
        <v>76</v>
      </c>
      <c r="H111" s="29">
        <v>0</v>
      </c>
      <c r="I111" s="36">
        <f t="shared" si="2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 t="shared" si="3"/>
        <v>0</v>
      </c>
      <c r="F112" s="26">
        <v>0</v>
      </c>
      <c r="G112" s="35">
        <f>G113</f>
        <v>0</v>
      </c>
      <c r="H112" s="26">
        <v>0</v>
      </c>
      <c r="I112" s="36">
        <f t="shared" si="2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 t="shared" si="3"/>
        <v>0</v>
      </c>
      <c r="F113" s="29">
        <v>0</v>
      </c>
      <c r="G113" s="36">
        <v>0</v>
      </c>
      <c r="H113" s="29">
        <v>0</v>
      </c>
      <c r="I113" s="36">
        <f t="shared" si="2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 t="shared" si="3"/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2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 t="shared" si="3"/>
        <v>0</v>
      </c>
      <c r="F115" s="29">
        <v>0</v>
      </c>
      <c r="G115" s="36">
        <v>0</v>
      </c>
      <c r="H115" s="29">
        <v>0</v>
      </c>
      <c r="I115" s="36">
        <f t="shared" si="2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 t="shared" si="3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2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 t="shared" si="3"/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2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 t="shared" si="3"/>
        <v>0.3034351547050574</v>
      </c>
      <c r="F118" s="29">
        <v>0</v>
      </c>
      <c r="G118" s="28">
        <v>267.3</v>
      </c>
      <c r="H118" s="29">
        <v>0</v>
      </c>
      <c r="I118" s="36">
        <f t="shared" si="2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 t="shared" si="3"/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2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 t="shared" si="3"/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2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 t="shared" si="3"/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2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2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2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2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2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165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f>B131+B132</f>
        <v>42871.7</v>
      </c>
      <c r="C129" s="43"/>
      <c r="D129" s="43">
        <f>D131+D132</f>
        <v>43511.9</v>
      </c>
      <c r="E129" s="28"/>
      <c r="F129" s="28"/>
      <c r="G129" s="27">
        <f>G131+G132</f>
        <v>29016</v>
      </c>
      <c r="H129" s="37"/>
      <c r="I129" s="27">
        <f>I131+I132</f>
        <v>43511.9</v>
      </c>
    </row>
    <row r="130" spans="1:9" ht="12" customHeight="1">
      <c r="A130" s="1" t="s">
        <v>6</v>
      </c>
      <c r="B130" s="44"/>
      <c r="C130" s="28"/>
      <c r="D130" s="44"/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24892.3</v>
      </c>
      <c r="C131" s="28"/>
      <c r="D131" s="44">
        <v>814.3</v>
      </c>
      <c r="E131" s="28"/>
      <c r="F131" s="28"/>
      <c r="G131" s="28">
        <v>917</v>
      </c>
      <c r="H131" s="37"/>
      <c r="I131" s="28">
        <f>D131</f>
        <v>814.3</v>
      </c>
    </row>
    <row r="132" spans="1:9" ht="12.75">
      <c r="A132" s="1" t="s">
        <v>60</v>
      </c>
      <c r="B132" s="44">
        <v>17979.4</v>
      </c>
      <c r="C132" s="28"/>
      <c r="D132" s="44">
        <f>43511.9-814.3</f>
        <v>42697.6</v>
      </c>
      <c r="E132" s="28"/>
      <c r="F132" s="28"/>
      <c r="G132" s="28">
        <f>29016-G131</f>
        <v>28099</v>
      </c>
      <c r="H132" s="37"/>
      <c r="I132" s="28">
        <f>D132</f>
        <v>42697.6</v>
      </c>
    </row>
    <row r="133" spans="1:9" ht="12.75">
      <c r="A133" s="3" t="s">
        <v>99</v>
      </c>
      <c r="B133" s="43">
        <f>B134-B135</f>
        <v>64460</v>
      </c>
      <c r="C133" s="40"/>
      <c r="D133" s="43">
        <f>D134-D135</f>
        <v>0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28">
        <v>98076.83</v>
      </c>
      <c r="C134" s="38"/>
      <c r="D134" s="44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28">
        <v>33616.83</v>
      </c>
      <c r="C135" s="38"/>
      <c r="D135" s="44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141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6" t="s">
        <v>3</v>
      </c>
      <c r="B6" s="117"/>
      <c r="C6" s="117"/>
      <c r="D6" s="117"/>
      <c r="E6" s="117"/>
      <c r="F6" s="117"/>
      <c r="G6" s="117"/>
      <c r="H6" s="117"/>
      <c r="I6" s="118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5">
        <f>G11+G12+G13+G14</f>
        <v>92915.8</v>
      </c>
      <c r="H10" s="55">
        <f t="shared" si="2"/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 t="shared" si="0"/>
        <v>35.554259581825534</v>
      </c>
      <c r="F11" s="50">
        <f t="shared" si="1"/>
        <v>99.79096739130435</v>
      </c>
      <c r="G11" s="66">
        <v>90455.84999999999</v>
      </c>
      <c r="H11" s="50">
        <f t="shared" si="2"/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 t="shared" si="0"/>
        <v>11.717601279264917</v>
      </c>
      <c r="F12" s="50">
        <f t="shared" si="1"/>
        <v>225.4142857142857</v>
      </c>
      <c r="G12" s="66">
        <v>257.14000000000004</v>
      </c>
      <c r="H12" s="50">
        <f t="shared" si="2"/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 t="shared" si="0"/>
        <v>7.116631159058974</v>
      </c>
      <c r="F13" s="50">
        <f t="shared" si="1"/>
        <v>37.13978494623657</v>
      </c>
      <c r="G13" s="66">
        <v>876.32</v>
      </c>
      <c r="H13" s="50">
        <f t="shared" si="2"/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 t="shared" si="0"/>
        <v>53.25153416487021</v>
      </c>
      <c r="F14" s="50">
        <f t="shared" si="1"/>
        <v>140.5772727272727</v>
      </c>
      <c r="G14" s="66">
        <v>1326.49</v>
      </c>
      <c r="H14" s="50">
        <f t="shared" si="2"/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 t="shared" si="0"/>
        <v>35.57133391006645</v>
      </c>
      <c r="F16" s="50">
        <f t="shared" si="1"/>
        <v>92.74609409681314</v>
      </c>
      <c r="G16" s="66">
        <v>4167.41</v>
      </c>
      <c r="H16" s="50">
        <f t="shared" si="2"/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 t="shared" si="0"/>
        <v>43.964285714285715</v>
      </c>
      <c r="F17" s="50">
        <f t="shared" si="1"/>
        <v>98.48</v>
      </c>
      <c r="G17" s="66">
        <v>31.309999999999995</v>
      </c>
      <c r="H17" s="50">
        <f t="shared" si="2"/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 t="shared" si="0"/>
        <v>36.203866803827346</v>
      </c>
      <c r="F18" s="50">
        <f t="shared" si="1"/>
        <v>88.83515875554325</v>
      </c>
      <c r="G18" s="66">
        <v>5784.05</v>
      </c>
      <c r="H18" s="50">
        <f t="shared" si="2"/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 t="shared" si="0"/>
        <v>57.74529378208785</v>
      </c>
      <c r="F19" s="50">
        <f t="shared" si="1"/>
        <v>115.68857142857144</v>
      </c>
      <c r="G19" s="66">
        <v>-757.87</v>
      </c>
      <c r="H19" s="50">
        <f t="shared" si="2"/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 t="shared" si="0"/>
        <v>44.26124778707039</v>
      </c>
      <c r="F21" s="50">
        <f t="shared" si="1"/>
        <v>98.87750085404579</v>
      </c>
      <c r="G21" s="66">
        <v>14665.83</v>
      </c>
      <c r="H21" s="50">
        <f t="shared" si="2"/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 t="shared" si="0"/>
        <v>61.73592493297586</v>
      </c>
      <c r="F22" s="50">
        <f t="shared" si="1"/>
        <v>73.688</v>
      </c>
      <c r="G22" s="66">
        <v>791.92</v>
      </c>
      <c r="H22" s="50">
        <f t="shared" si="2"/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 t="shared" si="0"/>
        <v>26.775808133472367</v>
      </c>
      <c r="F23" s="50">
        <f t="shared" si="1"/>
        <v>130.63695563695566</v>
      </c>
      <c r="G23" s="66">
        <v>196.56</v>
      </c>
      <c r="H23" s="50">
        <f t="shared" si="2"/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 t="shared" si="0"/>
        <v>9.987898772438793</v>
      </c>
      <c r="F25" s="50">
        <f t="shared" si="1"/>
        <v>99.4778947368421</v>
      </c>
      <c r="G25" s="66">
        <v>1611.45</v>
      </c>
      <c r="H25" s="50">
        <f t="shared" si="2"/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 t="shared" si="0"/>
        <v>26.02645651886092</v>
      </c>
      <c r="F26" s="50">
        <f t="shared" si="1"/>
        <v>88.61347716502098</v>
      </c>
      <c r="G26" s="66">
        <v>5102.26</v>
      </c>
      <c r="H26" s="50">
        <f t="shared" si="2"/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 t="shared" si="0"/>
        <v>34.55283002159386</v>
      </c>
      <c r="F28" s="50">
        <f t="shared" si="1"/>
        <v>105.67479166666666</v>
      </c>
      <c r="G28" s="66">
        <v>5722.68</v>
      </c>
      <c r="H28" s="50">
        <f t="shared" si="2"/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 t="shared" si="0"/>
        <v>20.75471698113208</v>
      </c>
      <c r="F29" s="50">
        <f t="shared" si="1"/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 t="shared" si="0"/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 t="shared" si="3"/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 t="shared" si="3"/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 t="shared" si="3"/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 t="shared" si="3"/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 t="shared" si="3"/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 t="shared" si="3"/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 aca="true" t="shared" si="4" ref="F47:F59">$D:$D/$C:$C*100</f>
        <v>161.14754098360655</v>
      </c>
      <c r="G47" s="66">
        <v>62.82</v>
      </c>
      <c r="H47" s="50">
        <f aca="true" t="shared" si="5" ref="H47:H52"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6">
        <v>1035.17</v>
      </c>
      <c r="H48" s="50">
        <f t="shared" si="5"/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 t="shared" si="6"/>
        <v>#DIV/0!</v>
      </c>
      <c r="F50" s="50" t="e">
        <f t="shared" si="4"/>
        <v>#DIV/0!</v>
      </c>
      <c r="G50" s="66"/>
      <c r="H50" s="50" t="e">
        <f t="shared" si="5"/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 t="shared" si="6"/>
        <v>#DIV/0!</v>
      </c>
      <c r="F51" s="50" t="e">
        <f t="shared" si="4"/>
        <v>#DIV/0!</v>
      </c>
      <c r="G51" s="66"/>
      <c r="H51" s="50" t="e">
        <f t="shared" si="5"/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 t="shared" si="6"/>
        <v>#DIV/0!</v>
      </c>
      <c r="F52" s="50" t="e">
        <f t="shared" si="4"/>
        <v>#DIV/0!</v>
      </c>
      <c r="G52" s="66"/>
      <c r="H52" s="50" t="e">
        <f t="shared" si="5"/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 t="shared" si="6"/>
        <v>#DIV/0!</v>
      </c>
      <c r="F53" s="50" t="e">
        <f t="shared" si="4"/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 t="shared" si="4"/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 t="shared" si="4"/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 t="shared" si="4"/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 t="shared" si="4"/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 t="shared" si="4"/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 aca="true" t="shared" si="7" ref="E59:E67">$D:$D/$B:$B*100</f>
        <v>#DIV/0!</v>
      </c>
      <c r="F59" s="50" t="e">
        <f t="shared" si="4"/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 t="shared" si="7"/>
        <v>39.8563352465097</v>
      </c>
      <c r="F64" s="50">
        <f t="shared" si="9"/>
        <v>100</v>
      </c>
      <c r="G64" s="66">
        <v>163738.28</v>
      </c>
      <c r="H64" s="50">
        <f t="shared" si="8"/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 t="shared" si="7"/>
        <v>6.002607663309966</v>
      </c>
      <c r="F65" s="50">
        <f t="shared" si="9"/>
        <v>100.000033629712</v>
      </c>
      <c r="G65" s="66">
        <v>48973.2</v>
      </c>
      <c r="H65" s="50">
        <f t="shared" si="8"/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 t="shared" si="7"/>
        <v>38.128776909984296</v>
      </c>
      <c r="F66" s="50">
        <f t="shared" si="9"/>
        <v>100.00000259491546</v>
      </c>
      <c r="G66" s="66">
        <v>364679.03</v>
      </c>
      <c r="H66" s="50">
        <f t="shared" si="8"/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 t="shared" si="7"/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107" t="s">
        <v>22</v>
      </c>
      <c r="B72" s="108"/>
      <c r="C72" s="108"/>
      <c r="D72" s="108"/>
      <c r="E72" s="108"/>
      <c r="F72" s="108"/>
      <c r="G72" s="108"/>
      <c r="H72" s="108"/>
      <c r="I72" s="109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3" sqref="B103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104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186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187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99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0">
        <f>B8+B16+B21+B26+B29+B36++B45+B46+B47+B51+B62</f>
        <v>752720.8999999998</v>
      </c>
      <c r="C7" s="30">
        <f>C8+C16+C21+C26+C29+C36++C45+C46+C47+C51+C62</f>
        <v>586240.3</v>
      </c>
      <c r="D7" s="30">
        <f>D8+D16+D21+D26+D29+D36++D45+D46+D47+D51+D62</f>
        <v>572460.6999999998</v>
      </c>
      <c r="E7" s="86">
        <f aca="true" t="shared" si="0" ref="E7:E22">$D:$D/$B:$B*100</f>
        <v>76.05218614230054</v>
      </c>
      <c r="F7" s="86">
        <v>27699.089999999997</v>
      </c>
      <c r="G7" s="30">
        <f>G8+G16+G21+G26+G29+G33+G36+G45+G46+G47+G51+G63</f>
        <v>467038.94999999995</v>
      </c>
      <c r="H7" s="86">
        <f aca="true" t="shared" si="1" ref="H7:H48">$D:$D/$G:$G*100</f>
        <v>122.57236789351293</v>
      </c>
      <c r="I7" s="30">
        <f>D7-сентябрь!D7</f>
        <v>74982.19999999984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297979.5</v>
      </c>
      <c r="D8" s="86">
        <f>D9+D10-0.1</f>
        <v>299871.9</v>
      </c>
      <c r="E8" s="86">
        <f t="shared" si="0"/>
        <v>78.66773840407842</v>
      </c>
      <c r="F8" s="86">
        <v>10645.39</v>
      </c>
      <c r="G8" s="86">
        <f>G9+G10</f>
        <v>230587.36000000002</v>
      </c>
      <c r="H8" s="86">
        <f t="shared" si="1"/>
        <v>130.04698089262135</v>
      </c>
      <c r="I8" s="30">
        <f>D8-сентябрь!D8</f>
        <v>32390.70000000001</v>
      </c>
    </row>
    <row r="9" spans="1:9" ht="25.5">
      <c r="A9" s="53" t="s">
        <v>5</v>
      </c>
      <c r="B9" s="87">
        <v>8446.3</v>
      </c>
      <c r="C9" s="87">
        <v>6400</v>
      </c>
      <c r="D9" s="87">
        <v>7435</v>
      </c>
      <c r="E9" s="86">
        <f t="shared" si="0"/>
        <v>88.02670992032014</v>
      </c>
      <c r="F9" s="86">
        <v>200.86</v>
      </c>
      <c r="G9" s="87">
        <v>8476.029999999999</v>
      </c>
      <c r="H9" s="86">
        <f t="shared" si="1"/>
        <v>87.717952862366</v>
      </c>
      <c r="I9" s="30">
        <f>D9-сентябрь!D9</f>
        <v>1937.8000000000002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291579.5</v>
      </c>
      <c r="D10" s="92">
        <f>SUM(D11:D15)</f>
        <v>292437</v>
      </c>
      <c r="E10" s="86">
        <f t="shared" si="0"/>
        <v>78.45569155683187</v>
      </c>
      <c r="F10" s="86">
        <v>10444.529999999999</v>
      </c>
      <c r="G10" s="92">
        <f>SUM(G11:G15)</f>
        <v>222111.33000000002</v>
      </c>
      <c r="H10" s="86">
        <f t="shared" si="1"/>
        <v>131.66235148832794</v>
      </c>
      <c r="I10" s="30">
        <f>D10-сентябрь!D10</f>
        <v>30452.899999999994</v>
      </c>
    </row>
    <row r="11" spans="1:9" ht="51">
      <c r="A11" s="56" t="s">
        <v>74</v>
      </c>
      <c r="B11" s="85">
        <v>313856.6</v>
      </c>
      <c r="C11" s="85">
        <v>233544.2</v>
      </c>
      <c r="D11" s="85">
        <v>231611.6</v>
      </c>
      <c r="E11" s="86">
        <f t="shared" si="0"/>
        <v>73.79535749765977</v>
      </c>
      <c r="F11" s="86">
        <v>10058</v>
      </c>
      <c r="G11" s="85">
        <v>208713.88</v>
      </c>
      <c r="H11" s="48">
        <f t="shared" si="1"/>
        <v>110.97086595294957</v>
      </c>
      <c r="I11" s="30">
        <f>D11-сентябрь!D11</f>
        <v>28697.600000000006</v>
      </c>
    </row>
    <row r="12" spans="1:9" ht="94.5" customHeight="1">
      <c r="A12" s="56" t="s">
        <v>75</v>
      </c>
      <c r="B12" s="85">
        <v>6481.5</v>
      </c>
      <c r="C12" s="85">
        <v>6370</v>
      </c>
      <c r="D12" s="85">
        <v>1090.7</v>
      </c>
      <c r="E12" s="86">
        <f t="shared" si="0"/>
        <v>16.827894777443493</v>
      </c>
      <c r="F12" s="86">
        <v>81.56</v>
      </c>
      <c r="G12" s="85">
        <v>6408.130000000001</v>
      </c>
      <c r="H12" s="48">
        <f t="shared" si="1"/>
        <v>17.02056606217414</v>
      </c>
      <c r="I12" s="30">
        <f>D12-сентябрь!D12</f>
        <v>521.1</v>
      </c>
    </row>
    <row r="13" spans="1:9" ht="25.5">
      <c r="A13" s="56" t="s">
        <v>76</v>
      </c>
      <c r="B13" s="85">
        <v>3576.4</v>
      </c>
      <c r="C13" s="85">
        <v>3285</v>
      </c>
      <c r="D13" s="85">
        <v>4765.9</v>
      </c>
      <c r="E13" s="86">
        <f t="shared" si="0"/>
        <v>133.25970249412816</v>
      </c>
      <c r="F13" s="86">
        <v>117.15</v>
      </c>
      <c r="G13" s="85">
        <v>3281.2899999999995</v>
      </c>
      <c r="H13" s="48">
        <f t="shared" si="1"/>
        <v>145.24470558835094</v>
      </c>
      <c r="I13" s="30">
        <f>D13-сентябрь!D13</f>
        <v>349.39999999999964</v>
      </c>
    </row>
    <row r="14" spans="1:9" ht="63.75">
      <c r="A14" s="56" t="s">
        <v>78</v>
      </c>
      <c r="B14" s="85">
        <f>2580100/1000</f>
        <v>2580.1</v>
      </c>
      <c r="C14" s="85">
        <v>2133.3</v>
      </c>
      <c r="D14" s="85">
        <v>3184</v>
      </c>
      <c r="E14" s="86">
        <f t="shared" si="0"/>
        <v>123.4060695321887</v>
      </c>
      <c r="F14" s="86">
        <v>187.82</v>
      </c>
      <c r="G14" s="85">
        <v>2118.2799999999997</v>
      </c>
      <c r="H14" s="48">
        <f t="shared" si="1"/>
        <v>150.31062937855242</v>
      </c>
      <c r="I14" s="30">
        <f>D14-сентябрь!D14</f>
        <v>283.0999999999999</v>
      </c>
    </row>
    <row r="15" spans="1:9" ht="37.5" customHeight="1">
      <c r="A15" s="56" t="s">
        <v>145</v>
      </c>
      <c r="B15" s="82">
        <v>46247</v>
      </c>
      <c r="C15" s="82">
        <v>46247</v>
      </c>
      <c r="D15" s="82">
        <v>51784.8</v>
      </c>
      <c r="E15" s="86">
        <f t="shared" si="0"/>
        <v>111.97439833935175</v>
      </c>
      <c r="F15" s="86"/>
      <c r="G15" s="85">
        <v>1589.75</v>
      </c>
      <c r="H15" s="48">
        <f t="shared" si="1"/>
        <v>3257.417832992609</v>
      </c>
      <c r="I15" s="30">
        <f>D15-сентябрь!D15</f>
        <v>601.7000000000044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45562.299999999996</v>
      </c>
      <c r="D16" s="87">
        <f>SUM(D17:D20)</f>
        <v>53580.1</v>
      </c>
      <c r="E16" s="86">
        <f t="shared" si="0"/>
        <v>96.38788947254803</v>
      </c>
      <c r="F16" s="86">
        <v>1853.18</v>
      </c>
      <c r="G16" s="30">
        <f>G17+G18+G19+G20</f>
        <v>20107.7</v>
      </c>
      <c r="H16" s="86">
        <f t="shared" si="1"/>
        <v>266.4655828364258</v>
      </c>
      <c r="I16" s="30">
        <f>D16-сентябрь!D16</f>
        <v>5762</v>
      </c>
    </row>
    <row r="17" spans="1:9" ht="37.5" customHeight="1">
      <c r="A17" s="39" t="s">
        <v>83</v>
      </c>
      <c r="B17" s="82">
        <v>25133.1</v>
      </c>
      <c r="C17" s="82">
        <v>20352.4</v>
      </c>
      <c r="D17" s="82">
        <v>26444.5</v>
      </c>
      <c r="E17" s="86">
        <f t="shared" si="0"/>
        <v>105.21782032459188</v>
      </c>
      <c r="F17" s="86">
        <v>844.23</v>
      </c>
      <c r="G17" s="85">
        <v>9193.48</v>
      </c>
      <c r="H17" s="48">
        <f t="shared" si="1"/>
        <v>287.64406949272745</v>
      </c>
      <c r="I17" s="30">
        <f>D17-сентябрь!D17</f>
        <v>3063.7999999999993</v>
      </c>
    </row>
    <row r="18" spans="1:9" ht="56.25" customHeight="1">
      <c r="A18" s="39" t="s">
        <v>84</v>
      </c>
      <c r="B18" s="82">
        <v>139.1</v>
      </c>
      <c r="C18" s="82">
        <v>117.2</v>
      </c>
      <c r="D18" s="82">
        <v>148.4</v>
      </c>
      <c r="E18" s="86">
        <f t="shared" si="0"/>
        <v>106.68583752695903</v>
      </c>
      <c r="F18" s="86">
        <v>5.74</v>
      </c>
      <c r="G18" s="85">
        <v>65.74</v>
      </c>
      <c r="H18" s="48">
        <f t="shared" si="1"/>
        <v>225.7377547916033</v>
      </c>
      <c r="I18" s="30">
        <f>D18-сентябрь!D18</f>
        <v>16.099999999999994</v>
      </c>
    </row>
    <row r="19" spans="1:9" ht="55.5" customHeight="1">
      <c r="A19" s="39" t="s">
        <v>85</v>
      </c>
      <c r="B19" s="82">
        <v>33467.4</v>
      </c>
      <c r="C19" s="82">
        <v>27771.6</v>
      </c>
      <c r="D19" s="82">
        <v>30045.3</v>
      </c>
      <c r="E19" s="86">
        <f t="shared" si="0"/>
        <v>89.77482565123074</v>
      </c>
      <c r="F19" s="86">
        <v>1158.41</v>
      </c>
      <c r="G19" s="85">
        <v>12468.64</v>
      </c>
      <c r="H19" s="48">
        <f t="shared" si="1"/>
        <v>240.96693785368734</v>
      </c>
      <c r="I19" s="30">
        <f>D19-сентябрь!D19</f>
        <v>3130.2000000000007</v>
      </c>
    </row>
    <row r="20" spans="1:9" ht="15.75" customHeight="1">
      <c r="A20" s="39" t="s">
        <v>86</v>
      </c>
      <c r="B20" s="82">
        <v>-3151.6</v>
      </c>
      <c r="C20" s="82">
        <v>-2678.9</v>
      </c>
      <c r="D20" s="82">
        <v>-3058.1</v>
      </c>
      <c r="E20" s="86">
        <f t="shared" si="0"/>
        <v>97.03325295088209</v>
      </c>
      <c r="F20" s="86">
        <v>-155.2</v>
      </c>
      <c r="G20" s="85">
        <v>-1620.1600000000003</v>
      </c>
      <c r="H20" s="48">
        <f t="shared" si="1"/>
        <v>188.7529626703535</v>
      </c>
      <c r="I20" s="30">
        <f>D20-сентябрь!D20</f>
        <v>-448.0999999999999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121631.9</v>
      </c>
      <c r="D21" s="87">
        <f>SUM(D22:D25)</f>
        <v>121631.29999999999</v>
      </c>
      <c r="E21" s="86">
        <f t="shared" si="0"/>
        <v>90.6232095159686</v>
      </c>
      <c r="F21" s="86">
        <v>7362.96</v>
      </c>
      <c r="G21" s="30">
        <f>G22+G24+G25+G23</f>
        <v>114150.22</v>
      </c>
      <c r="H21" s="86">
        <f t="shared" si="1"/>
        <v>106.55371492056693</v>
      </c>
      <c r="I21" s="30">
        <f>D21-сентябрь!D21</f>
        <v>23083.199999999983</v>
      </c>
    </row>
    <row r="22" spans="1:9" ht="28.5" customHeight="1">
      <c r="A22" s="56" t="s">
        <v>146</v>
      </c>
      <c r="B22" s="85">
        <v>110640.7</v>
      </c>
      <c r="C22" s="85">
        <v>100770</v>
      </c>
      <c r="D22" s="85">
        <v>101116</v>
      </c>
      <c r="E22" s="86">
        <f t="shared" si="0"/>
        <v>91.39132344607364</v>
      </c>
      <c r="F22" s="86"/>
      <c r="G22" s="85">
        <v>87933.16</v>
      </c>
      <c r="H22" s="48">
        <f t="shared" si="1"/>
        <v>114.99188701964083</v>
      </c>
      <c r="I22" s="30">
        <f>D22-сентябрь!D22</f>
        <v>21455.699999999997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196.7</v>
      </c>
      <c r="E23" s="86">
        <v>0</v>
      </c>
      <c r="F23" s="86">
        <v>7198.75</v>
      </c>
      <c r="G23" s="85">
        <v>7294.08</v>
      </c>
      <c r="H23" s="48">
        <f t="shared" si="1"/>
        <v>2.6967074668772484</v>
      </c>
      <c r="I23" s="30">
        <f>D23-сентябрь!D23</f>
        <v>11.5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297</v>
      </c>
      <c r="E24" s="86">
        <f aca="true" t="shared" si="2" ref="E24:E47">$D:$D/$B:$B*100</f>
        <v>23.85542168674699</v>
      </c>
      <c r="F24" s="86">
        <v>113.58</v>
      </c>
      <c r="G24" s="85">
        <v>1300.9000000000003</v>
      </c>
      <c r="H24" s="48">
        <f t="shared" si="1"/>
        <v>22.830348220462753</v>
      </c>
      <c r="I24" s="30">
        <f>D24-сентябрь!D24</f>
        <v>0</v>
      </c>
    </row>
    <row r="25" spans="1:9" ht="27" customHeight="1">
      <c r="A25" s="56" t="s">
        <v>88</v>
      </c>
      <c r="B25" s="85">
        <v>22330.8</v>
      </c>
      <c r="C25" s="85">
        <v>19616.9</v>
      </c>
      <c r="D25" s="85">
        <v>20021.6</v>
      </c>
      <c r="E25" s="86">
        <f t="shared" si="2"/>
        <v>89.65912551274474</v>
      </c>
      <c r="F25" s="86">
        <v>50.63</v>
      </c>
      <c r="G25" s="85">
        <v>17622.079999999998</v>
      </c>
      <c r="H25" s="48">
        <f t="shared" si="1"/>
        <v>113.61655377798763</v>
      </c>
      <c r="I25" s="30">
        <f>D25-сентябрь!D25</f>
        <v>1616</v>
      </c>
    </row>
    <row r="26" spans="1:9" ht="12.75">
      <c r="A26" s="59" t="s">
        <v>8</v>
      </c>
      <c r="B26" s="87">
        <f>SUM(B27:B28)</f>
        <v>42549</v>
      </c>
      <c r="C26" s="87">
        <f>SUM(C27:C28)</f>
        <v>21619</v>
      </c>
      <c r="D26" s="87">
        <f>SUM(D27:D28)</f>
        <v>20915.2</v>
      </c>
      <c r="E26" s="86">
        <f t="shared" si="2"/>
        <v>49.15556182283955</v>
      </c>
      <c r="F26" s="86">
        <v>2465.82</v>
      </c>
      <c r="G26" s="30">
        <f>SUM(G27:G28)</f>
        <v>19656.870000000003</v>
      </c>
      <c r="H26" s="86">
        <f t="shared" si="1"/>
        <v>106.40147693910575</v>
      </c>
      <c r="I26" s="30">
        <f>D26-сентябрь!D26</f>
        <v>6364.4000000000015</v>
      </c>
    </row>
    <row r="27" spans="1:9" ht="12.75">
      <c r="A27" s="56" t="s">
        <v>106</v>
      </c>
      <c r="B27" s="82">
        <v>25216.8</v>
      </c>
      <c r="C27" s="82">
        <v>11009</v>
      </c>
      <c r="D27" s="82">
        <v>10022.1</v>
      </c>
      <c r="E27" s="86">
        <f t="shared" si="2"/>
        <v>39.74374226706006</v>
      </c>
      <c r="F27" s="86">
        <v>536.1</v>
      </c>
      <c r="G27" s="85">
        <v>8941.76</v>
      </c>
      <c r="H27" s="48">
        <f t="shared" si="1"/>
        <v>112.0819614930394</v>
      </c>
      <c r="I27" s="30">
        <f>D27-сентябрь!D27</f>
        <v>4073.6000000000004</v>
      </c>
    </row>
    <row r="28" spans="1:9" ht="12.75">
      <c r="A28" s="56" t="s">
        <v>107</v>
      </c>
      <c r="B28" s="85">
        <f>17332.2</f>
        <v>17332.2</v>
      </c>
      <c r="C28" s="85">
        <v>10610</v>
      </c>
      <c r="D28" s="85">
        <v>10893.1</v>
      </c>
      <c r="E28" s="86">
        <f t="shared" si="2"/>
        <v>62.84891704457599</v>
      </c>
      <c r="F28" s="86">
        <v>1929.72</v>
      </c>
      <c r="G28" s="85">
        <v>10715.11</v>
      </c>
      <c r="H28" s="48">
        <f t="shared" si="1"/>
        <v>101.661112205101</v>
      </c>
      <c r="I28" s="30">
        <f>D28-сентябрь!D28</f>
        <v>2290.800000000001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13496</v>
      </c>
      <c r="D29" s="87">
        <f>SUM(D30:D32)</f>
        <v>14293.4</v>
      </c>
      <c r="E29" s="86">
        <f t="shared" si="2"/>
        <v>88.7485641551023</v>
      </c>
      <c r="F29" s="86">
        <v>793.07</v>
      </c>
      <c r="G29" s="30">
        <f>G30+G32+G31</f>
        <v>12795.94</v>
      </c>
      <c r="H29" s="86">
        <f t="shared" si="1"/>
        <v>111.70261817420213</v>
      </c>
      <c r="I29" s="30">
        <f>D29-сентябрь!D29</f>
        <v>1674.8999999999996</v>
      </c>
    </row>
    <row r="30" spans="1:9" ht="25.5">
      <c r="A30" s="56" t="s">
        <v>10</v>
      </c>
      <c r="B30" s="85">
        <v>15988.3</v>
      </c>
      <c r="C30" s="85">
        <v>13400</v>
      </c>
      <c r="D30" s="85">
        <v>14180.8</v>
      </c>
      <c r="E30" s="86">
        <f t="shared" si="2"/>
        <v>88.69485811499659</v>
      </c>
      <c r="F30" s="86">
        <v>793.07</v>
      </c>
      <c r="G30" s="85">
        <v>12638.74</v>
      </c>
      <c r="H30" s="48">
        <f t="shared" si="1"/>
        <v>112.20105801685926</v>
      </c>
      <c r="I30" s="30">
        <f>D30-сентябрь!D30</f>
        <v>1668.5</v>
      </c>
    </row>
    <row r="31" spans="1:9" ht="25.5">
      <c r="A31" s="56" t="s">
        <v>91</v>
      </c>
      <c r="B31" s="81">
        <f>67200/1000</f>
        <v>67.2</v>
      </c>
      <c r="C31" s="81">
        <v>56</v>
      </c>
      <c r="D31" s="81">
        <v>57.6</v>
      </c>
      <c r="E31" s="86">
        <f t="shared" si="2"/>
        <v>85.71428571428571</v>
      </c>
      <c r="F31" s="86">
        <v>0</v>
      </c>
      <c r="G31" s="85">
        <v>90</v>
      </c>
      <c r="H31" s="48">
        <f t="shared" si="1"/>
        <v>64</v>
      </c>
      <c r="I31" s="30">
        <f>D31-сентябрь!D31</f>
        <v>6.399999999999999</v>
      </c>
    </row>
    <row r="32" spans="1:9" ht="25.5">
      <c r="A32" s="56" t="s">
        <v>90</v>
      </c>
      <c r="B32" s="81">
        <f>50000/1000</f>
        <v>50</v>
      </c>
      <c r="C32" s="81">
        <v>40</v>
      </c>
      <c r="D32" s="81">
        <v>55</v>
      </c>
      <c r="E32" s="86">
        <f t="shared" si="2"/>
        <v>110.00000000000001</v>
      </c>
      <c r="F32" s="86">
        <v>0</v>
      </c>
      <c r="G32" s="85">
        <v>67.2</v>
      </c>
      <c r="H32" s="48">
        <f t="shared" si="1"/>
        <v>81.84523809523809</v>
      </c>
      <c r="I32" s="30">
        <f>D32-сентябрь!D32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 t="shared" si="2"/>
        <v>#DIV/0!</v>
      </c>
      <c r="F33" s="86">
        <v>0</v>
      </c>
      <c r="G33" s="30">
        <f>G34+G35</f>
        <v>16.54</v>
      </c>
      <c r="H33" s="48">
        <f t="shared" si="1"/>
        <v>0.12091898428053206</v>
      </c>
      <c r="I33" s="30">
        <f>D33-сентябрь!D33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 t="shared" si="2"/>
        <v>#DIV/0!</v>
      </c>
      <c r="F34" s="86">
        <v>0</v>
      </c>
      <c r="G34" s="85">
        <v>14.790000000000001</v>
      </c>
      <c r="H34" s="48">
        <f t="shared" si="1"/>
        <v>0.1352265043948614</v>
      </c>
      <c r="I34" s="30">
        <f>D34-сентябрь!D34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 t="shared" si="2"/>
        <v>#DIV/0!</v>
      </c>
      <c r="F35" s="86">
        <v>0</v>
      </c>
      <c r="G35" s="85">
        <v>1.75</v>
      </c>
      <c r="H35" s="48">
        <f t="shared" si="1"/>
        <v>0</v>
      </c>
      <c r="I35" s="30">
        <f>D35-сентябрь!D35</f>
        <v>0</v>
      </c>
    </row>
    <row r="36" spans="1:9" ht="39.75" customHeight="1">
      <c r="A36" s="59" t="s">
        <v>12</v>
      </c>
      <c r="B36" s="87">
        <f>SUM(B38:B44)+0.1</f>
        <v>73550.5</v>
      </c>
      <c r="C36" s="87">
        <f>SUM(C38:C44)</f>
        <v>48503.299999999996</v>
      </c>
      <c r="D36" s="87">
        <f>SUM(D38:D44)</f>
        <v>43761.700000000004</v>
      </c>
      <c r="E36" s="86">
        <f t="shared" si="2"/>
        <v>59.49884773047091</v>
      </c>
      <c r="F36" s="86">
        <v>3247.05</v>
      </c>
      <c r="G36" s="30">
        <f>G37+G39+G40+G41+G43+G44+G38+G42</f>
        <v>54737.74</v>
      </c>
      <c r="H36" s="86">
        <f t="shared" si="1"/>
        <v>79.94794816154267</v>
      </c>
      <c r="I36" s="30">
        <f>D36-сентябрь!D36</f>
        <v>5193.500000000007</v>
      </c>
    </row>
    <row r="37" spans="1:9" ht="81.75" customHeight="1" hidden="1">
      <c r="A37" s="56" t="s">
        <v>114</v>
      </c>
      <c r="B37" s="85"/>
      <c r="C37" s="85"/>
      <c r="D37" s="85"/>
      <c r="E37" s="86" t="e">
        <f t="shared" si="2"/>
        <v>#DIV/0!</v>
      </c>
      <c r="F37" s="86"/>
      <c r="G37" s="85"/>
      <c r="H37" s="48" t="e">
        <f t="shared" si="1"/>
        <v>#DIV/0!</v>
      </c>
      <c r="I37" s="30">
        <f>D37-сентябрь!D37</f>
        <v>0</v>
      </c>
    </row>
    <row r="38" spans="1:9" ht="76.5">
      <c r="A38" s="56" t="s">
        <v>117</v>
      </c>
      <c r="B38" s="85">
        <v>37670.9</v>
      </c>
      <c r="C38" s="85">
        <v>28000</v>
      </c>
      <c r="D38" s="85">
        <v>24214</v>
      </c>
      <c r="E38" s="86">
        <f t="shared" si="2"/>
        <v>64.27773161777392</v>
      </c>
      <c r="F38" s="86">
        <v>2393.3</v>
      </c>
      <c r="G38" s="85">
        <v>34329.14</v>
      </c>
      <c r="H38" s="48">
        <f t="shared" si="1"/>
        <v>70.53482842855952</v>
      </c>
      <c r="I38" s="30">
        <f>D38-сентябрь!D38</f>
        <v>2541.0999999999985</v>
      </c>
    </row>
    <row r="39" spans="1:9" ht="76.5">
      <c r="A39" s="56" t="s">
        <v>125</v>
      </c>
      <c r="B39" s="82">
        <v>7265</v>
      </c>
      <c r="C39" s="82">
        <v>2924.8</v>
      </c>
      <c r="D39" s="82">
        <v>3572.4</v>
      </c>
      <c r="E39" s="86">
        <f t="shared" si="2"/>
        <v>49.17274604267034</v>
      </c>
      <c r="F39" s="86">
        <v>75.44</v>
      </c>
      <c r="G39" s="85">
        <v>930.3299999999999</v>
      </c>
      <c r="H39" s="48">
        <f t="shared" si="1"/>
        <v>383.9927767566348</v>
      </c>
      <c r="I39" s="30">
        <f>D39-сентябрь!D39</f>
        <v>599.5999999999999</v>
      </c>
    </row>
    <row r="40" spans="1:9" ht="76.5">
      <c r="A40" s="56" t="s">
        <v>118</v>
      </c>
      <c r="B40" s="82">
        <v>428</v>
      </c>
      <c r="C40" s="82">
        <v>355.3</v>
      </c>
      <c r="D40" s="82">
        <v>384.5</v>
      </c>
      <c r="E40" s="86">
        <f t="shared" si="2"/>
        <v>89.83644859813083</v>
      </c>
      <c r="F40" s="86">
        <v>3.43</v>
      </c>
      <c r="G40" s="85">
        <v>357.9500000000001</v>
      </c>
      <c r="H40" s="48">
        <f t="shared" si="1"/>
        <v>107.4172370442799</v>
      </c>
      <c r="I40" s="30">
        <f>D40-сентябрь!D40</f>
        <v>20.100000000000023</v>
      </c>
    </row>
    <row r="41" spans="1:9" ht="38.25">
      <c r="A41" s="56" t="s">
        <v>119</v>
      </c>
      <c r="B41" s="82">
        <v>21306.5</v>
      </c>
      <c r="C41" s="82">
        <v>11000.6</v>
      </c>
      <c r="D41" s="82">
        <v>11752.4</v>
      </c>
      <c r="E41" s="86">
        <f t="shared" si="2"/>
        <v>55.158754370731934</v>
      </c>
      <c r="F41" s="86">
        <v>538.73</v>
      </c>
      <c r="G41" s="85">
        <v>12212.380000000001</v>
      </c>
      <c r="H41" s="48">
        <f t="shared" si="1"/>
        <v>96.23349420833613</v>
      </c>
      <c r="I41" s="30">
        <f>D41-сентябрь!D41</f>
        <v>1135</v>
      </c>
    </row>
    <row r="42" spans="1:9" ht="51">
      <c r="A42" s="56" t="s">
        <v>147</v>
      </c>
      <c r="B42" s="82">
        <v>64.2</v>
      </c>
      <c r="C42" s="82">
        <v>53.5</v>
      </c>
      <c r="D42" s="82">
        <v>60.8</v>
      </c>
      <c r="E42" s="86">
        <f t="shared" si="2"/>
        <v>94.70404984423675</v>
      </c>
      <c r="F42" s="86"/>
      <c r="G42" s="85">
        <v>77.52000000000001</v>
      </c>
      <c r="H42" s="48">
        <f t="shared" si="1"/>
        <v>78.4313725490196</v>
      </c>
      <c r="I42" s="30">
        <f>D42-сентябрь!D42</f>
        <v>0.29999999999999716</v>
      </c>
    </row>
    <row r="43" spans="1:9" ht="51">
      <c r="A43" s="56" t="s">
        <v>120</v>
      </c>
      <c r="B43" s="82">
        <v>2735.6</v>
      </c>
      <c r="C43" s="82">
        <v>2735.6</v>
      </c>
      <c r="D43" s="82">
        <v>1064.2</v>
      </c>
      <c r="E43" s="86">
        <f t="shared" si="2"/>
        <v>38.901886240678465</v>
      </c>
      <c r="F43" s="86">
        <v>0</v>
      </c>
      <c r="G43" s="85">
        <v>2879.96</v>
      </c>
      <c r="H43" s="48">
        <f t="shared" si="1"/>
        <v>36.95190210975153</v>
      </c>
      <c r="I43" s="30">
        <f>D43-сентябрь!D43</f>
        <v>586.6</v>
      </c>
    </row>
    <row r="44" spans="1:9" ht="76.5">
      <c r="A44" s="60" t="s">
        <v>121</v>
      </c>
      <c r="B44" s="82">
        <v>4080.2</v>
      </c>
      <c r="C44" s="82">
        <v>3433.5</v>
      </c>
      <c r="D44" s="82">
        <v>2713.4</v>
      </c>
      <c r="E44" s="86">
        <f t="shared" si="2"/>
        <v>66.50164207636881</v>
      </c>
      <c r="F44" s="86">
        <v>236.15</v>
      </c>
      <c r="G44" s="85">
        <v>3950.4600000000005</v>
      </c>
      <c r="H44" s="48">
        <f t="shared" si="1"/>
        <v>68.68567204831841</v>
      </c>
      <c r="I44" s="30">
        <f>D44-сентябрь!D44</f>
        <v>310.8000000000002</v>
      </c>
    </row>
    <row r="45" spans="1:9" ht="27" customHeight="1">
      <c r="A45" s="53" t="s">
        <v>13</v>
      </c>
      <c r="B45" s="87">
        <v>766.9</v>
      </c>
      <c r="C45" s="87">
        <v>752.1</v>
      </c>
      <c r="D45" s="87">
        <v>634.2</v>
      </c>
      <c r="E45" s="86">
        <f t="shared" si="2"/>
        <v>82.69657060894511</v>
      </c>
      <c r="F45" s="86">
        <v>43.6</v>
      </c>
      <c r="G45" s="87">
        <v>502.05000000000007</v>
      </c>
      <c r="H45" s="86">
        <f t="shared" si="1"/>
        <v>126.32207947415594</v>
      </c>
      <c r="I45" s="30">
        <f>D45-сентябрь!D45</f>
        <v>72.90000000000009</v>
      </c>
    </row>
    <row r="46" spans="1:9" ht="25.5">
      <c r="A46" s="53" t="s">
        <v>96</v>
      </c>
      <c r="B46" s="87">
        <v>10200.7</v>
      </c>
      <c r="C46" s="87">
        <v>9978.4</v>
      </c>
      <c r="D46" s="87">
        <v>10013.1</v>
      </c>
      <c r="E46" s="86">
        <f t="shared" si="2"/>
        <v>98.16091052574824</v>
      </c>
      <c r="F46" s="86">
        <v>561.58</v>
      </c>
      <c r="G46" s="87">
        <v>1949.55</v>
      </c>
      <c r="H46" s="86">
        <f t="shared" si="1"/>
        <v>513.6108332692161</v>
      </c>
      <c r="I46" s="30">
        <f>D46-сентябрь!D46</f>
        <v>84.5</v>
      </c>
    </row>
    <row r="47" spans="1:9" ht="25.5">
      <c r="A47" s="59" t="s">
        <v>14</v>
      </c>
      <c r="B47" s="87">
        <f>SUM(B48:B50)</f>
        <v>33263.6</v>
      </c>
      <c r="C47" s="87">
        <f>SUM(C48:C50)</f>
        <v>24054.5</v>
      </c>
      <c r="D47" s="87">
        <f>SUM(D48:D50)</f>
        <v>2595.7</v>
      </c>
      <c r="E47" s="86">
        <f t="shared" si="2"/>
        <v>7.803424764607558</v>
      </c>
      <c r="F47" s="86">
        <v>585.5</v>
      </c>
      <c r="G47" s="30">
        <f>G48+G49+G50</f>
        <v>4502.63</v>
      </c>
      <c r="H47" s="86">
        <f t="shared" si="1"/>
        <v>57.648529859215614</v>
      </c>
      <c r="I47" s="30">
        <f>D47-сентябрь!D47</f>
        <v>92.69999999999982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 t="shared" si="1"/>
        <v>0</v>
      </c>
      <c r="I48" s="30">
        <f>D48-сентябрь!D48</f>
        <v>0</v>
      </c>
    </row>
    <row r="49" spans="1:9" ht="76.5">
      <c r="A49" s="56" t="s">
        <v>95</v>
      </c>
      <c r="B49" s="85">
        <v>29363.6</v>
      </c>
      <c r="C49" s="85">
        <v>20863.6</v>
      </c>
      <c r="D49" s="85">
        <v>0</v>
      </c>
      <c r="E49" s="86">
        <v>0</v>
      </c>
      <c r="F49" s="86">
        <v>37.14</v>
      </c>
      <c r="G49" s="85">
        <v>1497.25</v>
      </c>
      <c r="H49" s="48">
        <v>0</v>
      </c>
      <c r="I49" s="30">
        <f>D49-сентябрь!D49</f>
        <v>0</v>
      </c>
    </row>
    <row r="50" spans="1:9" ht="14.25" customHeight="1">
      <c r="A50" s="60" t="s">
        <v>93</v>
      </c>
      <c r="B50" s="83">
        <v>3900</v>
      </c>
      <c r="C50" s="83">
        <v>3190.9</v>
      </c>
      <c r="D50" s="83">
        <v>2595.7</v>
      </c>
      <c r="E50" s="86">
        <f aca="true" t="shared" si="3" ref="E50:E72">$D:$D/$B:$B*100</f>
        <v>66.55641025641025</v>
      </c>
      <c r="F50" s="86">
        <v>548.36</v>
      </c>
      <c r="G50" s="85">
        <v>2952.69</v>
      </c>
      <c r="H50" s="48">
        <f aca="true" t="shared" si="4" ref="H50:H69">$D:$D/$G:$G*100</f>
        <v>87.9096688104745</v>
      </c>
      <c r="I50" s="30">
        <f>D50-сентябрь!D50</f>
        <v>92.69999999999982</v>
      </c>
    </row>
    <row r="51" spans="1:9" ht="12.75">
      <c r="A51" s="53" t="s">
        <v>15</v>
      </c>
      <c r="B51" s="85">
        <v>5222.7</v>
      </c>
      <c r="C51" s="85">
        <v>2602</v>
      </c>
      <c r="D51" s="85">
        <v>5135.5</v>
      </c>
      <c r="E51" s="86">
        <f t="shared" si="3"/>
        <v>98.33036551975033</v>
      </c>
      <c r="F51" s="86">
        <v>179.73</v>
      </c>
      <c r="G51" s="30">
        <v>8003.55</v>
      </c>
      <c r="H51" s="86">
        <f t="shared" si="4"/>
        <v>64.1652766584828</v>
      </c>
      <c r="I51" s="30">
        <f>D51-сентябрь!D51</f>
        <v>261.5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 t="shared" si="3"/>
        <v>0</v>
      </c>
      <c r="F52" s="86"/>
      <c r="G52" s="85"/>
      <c r="H52" s="48" t="e">
        <f t="shared" si="4"/>
        <v>#DIV/0!</v>
      </c>
      <c r="I52" s="30">
        <f>D52-сентябрь!D52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 t="shared" si="3"/>
        <v>0</v>
      </c>
      <c r="F53" s="86"/>
      <c r="G53" s="85"/>
      <c r="H53" s="48" t="e">
        <f t="shared" si="4"/>
        <v>#DIV/0!</v>
      </c>
      <c r="I53" s="30">
        <f>D53-сентябрь!D53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 t="shared" si="3"/>
        <v>0</v>
      </c>
      <c r="F54" s="86"/>
      <c r="G54" s="85"/>
      <c r="H54" s="48" t="e">
        <f t="shared" si="4"/>
        <v>#DIV/0!</v>
      </c>
      <c r="I54" s="30">
        <f>D54-сентябрь!D54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 t="shared" si="3"/>
        <v>0</v>
      </c>
      <c r="F55" s="86"/>
      <c r="G55" s="85"/>
      <c r="H55" s="48" t="e">
        <f t="shared" si="4"/>
        <v>#DIV/0!</v>
      </c>
      <c r="I55" s="30">
        <f>D55-сентябрь!D55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 t="shared" si="3"/>
        <v>0</v>
      </c>
      <c r="F56" s="86"/>
      <c r="G56" s="85"/>
      <c r="H56" s="48" t="e">
        <f t="shared" si="4"/>
        <v>#DIV/0!</v>
      </c>
      <c r="I56" s="30">
        <f>D56-сентябрь!D56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 t="shared" si="3"/>
        <v>0</v>
      </c>
      <c r="F57" s="86"/>
      <c r="G57" s="85"/>
      <c r="H57" s="48" t="e">
        <f t="shared" si="4"/>
        <v>#DIV/0!</v>
      </c>
      <c r="I57" s="30">
        <f>D57-сентябрь!D57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 t="shared" si="3"/>
        <v>0</v>
      </c>
      <c r="F58" s="86"/>
      <c r="G58" s="85"/>
      <c r="H58" s="48" t="e">
        <f t="shared" si="4"/>
        <v>#DIV/0!</v>
      </c>
      <c r="I58" s="30">
        <f>D58-сентябрь!D58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 t="shared" si="3"/>
        <v>0</v>
      </c>
      <c r="F59" s="86"/>
      <c r="G59" s="85"/>
      <c r="H59" s="48" t="e">
        <f t="shared" si="4"/>
        <v>#DIV/0!</v>
      </c>
      <c r="I59" s="30">
        <f>D59-сентябрь!D59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 t="shared" si="3"/>
        <v>0</v>
      </c>
      <c r="F60" s="86"/>
      <c r="G60" s="85"/>
      <c r="H60" s="48" t="e">
        <f t="shared" si="4"/>
        <v>#DIV/0!</v>
      </c>
      <c r="I60" s="30">
        <f>D60-сентябрь!D60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 t="shared" si="3"/>
        <v>0</v>
      </c>
      <c r="F61" s="86"/>
      <c r="G61" s="85"/>
      <c r="H61" s="48" t="e">
        <f t="shared" si="4"/>
        <v>#DIV/0!</v>
      </c>
      <c r="I61" s="30">
        <f>D61-сентябрь!D61</f>
        <v>0</v>
      </c>
    </row>
    <row r="62" spans="1:9" ht="12.75">
      <c r="A62" s="52" t="s">
        <v>16</v>
      </c>
      <c r="B62" s="81">
        <v>69.6</v>
      </c>
      <c r="C62" s="81">
        <v>61.3</v>
      </c>
      <c r="D62" s="98">
        <v>28.6</v>
      </c>
      <c r="E62" s="86">
        <f t="shared" si="3"/>
        <v>41.09195402298852</v>
      </c>
      <c r="F62" s="86">
        <v>-38.79</v>
      </c>
      <c r="G62" s="87">
        <v>4565.55</v>
      </c>
      <c r="H62" s="86">
        <f t="shared" si="4"/>
        <v>0.62643055053608</v>
      </c>
      <c r="I62" s="30">
        <f>D62-сентябрь!D62</f>
        <v>1.9000000000000021</v>
      </c>
    </row>
    <row r="63" spans="1:9" ht="12.75">
      <c r="A63" s="59" t="s">
        <v>17</v>
      </c>
      <c r="B63" s="87">
        <f>B62+B51+B47+B46+B45+B36+B29+B26+B21+B16+B8</f>
        <v>752720.8999999999</v>
      </c>
      <c r="C63" s="87">
        <f>C62+C51+C47+C46+C45+C36+C29+C26+C21+C16+C8</f>
        <v>586240.3</v>
      </c>
      <c r="D63" s="87">
        <f>D62+D51+D47+D46+D45+D36+D29+D26+D21+D16+D8</f>
        <v>572460.7</v>
      </c>
      <c r="E63" s="86">
        <f t="shared" si="3"/>
        <v>76.05218614230056</v>
      </c>
      <c r="F63" s="86">
        <v>27699.089999999997</v>
      </c>
      <c r="G63" s="87">
        <v>28.8</v>
      </c>
      <c r="H63" s="86">
        <f t="shared" si="4"/>
        <v>1987710.7638888888</v>
      </c>
      <c r="I63" s="30">
        <f>D63-сентябрь!D63</f>
        <v>74982.19999999995</v>
      </c>
    </row>
    <row r="64" spans="1:9" ht="12.75">
      <c r="A64" s="59" t="s">
        <v>18</v>
      </c>
      <c r="B64" s="85">
        <f>B65+B70+B71</f>
        <v>3658137.6000000006</v>
      </c>
      <c r="C64" s="85">
        <f>C65+C70+C71</f>
        <v>2297437.1999999997</v>
      </c>
      <c r="D64" s="85">
        <f>D65+D70+D71</f>
        <v>2284983.8</v>
      </c>
      <c r="E64" s="86">
        <f t="shared" si="3"/>
        <v>62.46303583550274</v>
      </c>
      <c r="F64" s="86">
        <v>43822.57000000001</v>
      </c>
      <c r="G64" s="30">
        <f>G8+G16+G21+G26+G29+G33+G36+G45+G46+G47+G63+G51</f>
        <v>467038.94999999995</v>
      </c>
      <c r="H64" s="86">
        <f t="shared" si="4"/>
        <v>489.2490872549281</v>
      </c>
      <c r="I64" s="30">
        <f>D64-сентябрь!D64</f>
        <v>244376.39999999967</v>
      </c>
    </row>
    <row r="65" spans="1:9" ht="25.5">
      <c r="A65" s="59" t="s">
        <v>19</v>
      </c>
      <c r="B65" s="85">
        <f>SUM(B66:B69)</f>
        <v>3676510.5000000005</v>
      </c>
      <c r="C65" s="85">
        <f>SUM(C66:C69)</f>
        <v>2315810.0999999996</v>
      </c>
      <c r="D65" s="85">
        <f>SUM(D66:D69)</f>
        <v>2303356.6999999997</v>
      </c>
      <c r="E65" s="86">
        <f t="shared" si="3"/>
        <v>62.65062210484641</v>
      </c>
      <c r="F65" s="86">
        <v>46091.770000000004</v>
      </c>
      <c r="G65" s="30">
        <f>G66+G72+G71</f>
        <v>1611269.82</v>
      </c>
      <c r="H65" s="86">
        <f t="shared" si="4"/>
        <v>142.95288544534395</v>
      </c>
      <c r="I65" s="30">
        <f>D65-сентябрь!D65</f>
        <v>244376.39999999967</v>
      </c>
    </row>
    <row r="66" spans="1:9" ht="12.75">
      <c r="A66" s="56" t="s">
        <v>108</v>
      </c>
      <c r="B66" s="85">
        <v>582119.3</v>
      </c>
      <c r="C66" s="85">
        <v>446699.1</v>
      </c>
      <c r="D66" s="85">
        <v>435299.1</v>
      </c>
      <c r="E66" s="86">
        <f t="shared" si="3"/>
        <v>74.77833152070373</v>
      </c>
      <c r="F66" s="86">
        <v>15902.8</v>
      </c>
      <c r="G66" s="30">
        <f>G67+G68+G70+G69</f>
        <v>1616792.9200000002</v>
      </c>
      <c r="H66" s="48">
        <f t="shared" si="4"/>
        <v>26.923614930228663</v>
      </c>
      <c r="I66" s="30">
        <f>D66-сентябрь!D66</f>
        <v>28326.79999999999</v>
      </c>
    </row>
    <row r="67" spans="1:9" ht="12.75" customHeight="1">
      <c r="A67" s="56" t="s">
        <v>109</v>
      </c>
      <c r="B67" s="85">
        <v>1812328.1</v>
      </c>
      <c r="C67" s="85">
        <v>892657.1</v>
      </c>
      <c r="D67" s="85">
        <v>892358.7</v>
      </c>
      <c r="E67" s="86">
        <f t="shared" si="3"/>
        <v>49.23825327213102</v>
      </c>
      <c r="F67" s="86">
        <v>0</v>
      </c>
      <c r="G67" s="85">
        <v>387373.61</v>
      </c>
      <c r="H67" s="48">
        <f t="shared" si="4"/>
        <v>230.3612525386022</v>
      </c>
      <c r="I67" s="30">
        <f>D67-сентябрь!D67</f>
        <v>102509.19999999995</v>
      </c>
    </row>
    <row r="68" spans="1:9" ht="18.75" customHeight="1">
      <c r="A68" s="56" t="s">
        <v>110</v>
      </c>
      <c r="B68" s="85">
        <v>1204328.9</v>
      </c>
      <c r="C68" s="85">
        <v>918894.1</v>
      </c>
      <c r="D68" s="85">
        <v>918139.1</v>
      </c>
      <c r="E68" s="86">
        <f t="shared" si="3"/>
        <v>76.23657457692829</v>
      </c>
      <c r="F68" s="86">
        <v>30188.97</v>
      </c>
      <c r="G68" s="85">
        <v>401865.42000000004</v>
      </c>
      <c r="H68" s="48">
        <f t="shared" si="4"/>
        <v>228.4692970099293</v>
      </c>
      <c r="I68" s="30">
        <f>D68-сентябрь!D68</f>
        <v>107298.90000000002</v>
      </c>
    </row>
    <row r="69" spans="1:9" ht="12.75" customHeight="1">
      <c r="A69" s="2" t="s">
        <v>122</v>
      </c>
      <c r="B69" s="82">
        <v>77734.2</v>
      </c>
      <c r="C69" s="82">
        <v>57559.8</v>
      </c>
      <c r="D69" s="82">
        <v>57559.8</v>
      </c>
      <c r="E69" s="86">
        <f t="shared" si="3"/>
        <v>74.04694458809637</v>
      </c>
      <c r="F69" s="86">
        <v>0</v>
      </c>
      <c r="G69" s="85">
        <v>790062.8100000002</v>
      </c>
      <c r="H69" s="48">
        <f t="shared" si="4"/>
        <v>7.285471391825163</v>
      </c>
      <c r="I69" s="30">
        <f>D69-сентябрь!D69</f>
        <v>6241.5</v>
      </c>
    </row>
    <row r="70" spans="1:9" ht="20.25" customHeight="1">
      <c r="A70" s="59" t="s">
        <v>113</v>
      </c>
      <c r="B70" s="83">
        <v>0</v>
      </c>
      <c r="C70" s="83">
        <v>0</v>
      </c>
      <c r="D70" s="83">
        <v>0</v>
      </c>
      <c r="E70" s="86" t="e">
        <f t="shared" si="3"/>
        <v>#DIV/0!</v>
      </c>
      <c r="F70" s="86">
        <v>0</v>
      </c>
      <c r="G70" s="85">
        <v>37491.08</v>
      </c>
      <c r="H70" s="48">
        <v>0</v>
      </c>
      <c r="I70" s="30">
        <f>D70-сентябрь!D70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 t="shared" si="3"/>
        <v>100</v>
      </c>
      <c r="F71" s="86">
        <v>-2269.2</v>
      </c>
      <c r="G71" s="85">
        <v>-2677.8</v>
      </c>
      <c r="H71" s="86">
        <f>$D:$D/$G:$G*100</f>
        <v>686.119202330271</v>
      </c>
      <c r="I71" s="30">
        <f>D71-сентябрь!D71</f>
        <v>0</v>
      </c>
    </row>
    <row r="72" spans="1:9" ht="12.75">
      <c r="A72" s="52" t="s">
        <v>20</v>
      </c>
      <c r="B72" s="87">
        <f>B63+B64-0.1</f>
        <v>4410858.4</v>
      </c>
      <c r="C72" s="87">
        <f>C63+C64</f>
        <v>2883677.5</v>
      </c>
      <c r="D72" s="87">
        <f>D63+D64</f>
        <v>2857444.5</v>
      </c>
      <c r="E72" s="86">
        <f t="shared" si="3"/>
        <v>64.78205013337086</v>
      </c>
      <c r="F72" s="86">
        <v>71521.66</v>
      </c>
      <c r="G72" s="87">
        <v>-2845.2999999999993</v>
      </c>
      <c r="H72" s="86">
        <f>$D:$D/$G:$G*100</f>
        <v>-100426.82669665766</v>
      </c>
      <c r="I72" s="30">
        <f>D72-сентябрь!D72</f>
        <v>319358.5999999996</v>
      </c>
    </row>
    <row r="73" spans="1:9" ht="12.75" hidden="1">
      <c r="A73" s="59"/>
      <c r="B73" s="66"/>
      <c r="C73" s="66"/>
      <c r="D73" s="66"/>
      <c r="E73" s="50"/>
      <c r="F73" s="50"/>
      <c r="G73" s="30">
        <f>G65+G64</f>
        <v>2078308.77</v>
      </c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100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101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102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0">
        <f>B79+B80+B81+B82+B83+B84+B85+B86</f>
        <v>482969.76</v>
      </c>
      <c r="C78" s="30">
        <f>C79+C80+C81+C82+C83+C84+C85+C86</f>
        <v>213310.5</v>
      </c>
      <c r="D78" s="30">
        <f>D79+D80+D81+D82+D83+D84+D85+D86</f>
        <v>209452.77000000002</v>
      </c>
      <c r="E78" s="86">
        <f>$D:$D/$B:$B*100</f>
        <v>43.36767792666771</v>
      </c>
      <c r="F78" s="86">
        <f>$D:$D/$C:$C*100</f>
        <v>98.19149549600232</v>
      </c>
      <c r="G78" s="30">
        <f>G79+G80+G81+G82+G83+G84+G85+G86</f>
        <v>118776.7</v>
      </c>
      <c r="H78" s="86">
        <f aca="true" t="shared" si="5" ref="H78:H83">$D:$D/$G:$G*100</f>
        <v>176.34163097644574</v>
      </c>
      <c r="I78" s="30">
        <f>I79+I80+I81+I82+I83+I84+I85+I86</f>
        <v>30891.770000000008</v>
      </c>
    </row>
    <row r="79" spans="1:9" ht="14.25" customHeight="1">
      <c r="A79" s="8" t="s">
        <v>24</v>
      </c>
      <c r="B79" s="82">
        <v>3022.76</v>
      </c>
      <c r="C79" s="71">
        <v>2311.6</v>
      </c>
      <c r="D79" s="71">
        <v>2258.27</v>
      </c>
      <c r="E79" s="48">
        <f>$D:$D/$B:$B*100</f>
        <v>74.7088753324776</v>
      </c>
      <c r="F79" s="48">
        <v>0</v>
      </c>
      <c r="G79" s="82">
        <v>2033.3</v>
      </c>
      <c r="H79" s="48">
        <f t="shared" si="5"/>
        <v>111.06427974229085</v>
      </c>
      <c r="I79" s="82">
        <f>D79-сентябрь!D79</f>
        <v>266.56999999999994</v>
      </c>
    </row>
    <row r="80" spans="1:9" ht="12.75">
      <c r="A80" s="8" t="s">
        <v>25</v>
      </c>
      <c r="B80" s="82">
        <v>7862.6</v>
      </c>
      <c r="C80" s="71">
        <v>6220.3</v>
      </c>
      <c r="D80" s="71">
        <v>5802.3</v>
      </c>
      <c r="E80" s="48">
        <f>$D:$D/$B:$B*100</f>
        <v>73.79619973036908</v>
      </c>
      <c r="F80" s="48">
        <f>$D:$D/$C:$C*100</f>
        <v>93.28006687780332</v>
      </c>
      <c r="G80" s="82">
        <v>4960.9</v>
      </c>
      <c r="H80" s="48">
        <f t="shared" si="5"/>
        <v>116.9606321433611</v>
      </c>
      <c r="I80" s="82">
        <f>D80-сентябрь!D80</f>
        <v>946.8000000000002</v>
      </c>
    </row>
    <row r="81" spans="1:9" ht="25.5">
      <c r="A81" s="8" t="s">
        <v>26</v>
      </c>
      <c r="B81" s="82">
        <v>68653.3</v>
      </c>
      <c r="C81" s="71">
        <v>49319.4</v>
      </c>
      <c r="D81" s="71">
        <v>47088.1</v>
      </c>
      <c r="E81" s="48">
        <f>$D:$D/$B:$B*100</f>
        <v>68.58825431552452</v>
      </c>
      <c r="F81" s="48">
        <f>$D:$D/$C:$C*100</f>
        <v>95.47581681853387</v>
      </c>
      <c r="G81" s="82">
        <v>47774.8</v>
      </c>
      <c r="H81" s="48">
        <f t="shared" si="5"/>
        <v>98.56263134539547</v>
      </c>
      <c r="I81" s="82">
        <f>D81-сентябрь!D81</f>
        <v>3092.9000000000015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71">
        <v>28.4</v>
      </c>
      <c r="H82" s="48">
        <f t="shared" si="5"/>
        <v>598.5915492957747</v>
      </c>
      <c r="I82" s="82">
        <f>D82-сентябрь!D82</f>
        <v>0</v>
      </c>
    </row>
    <row r="83" spans="1:9" ht="25.5">
      <c r="A83" s="1" t="s">
        <v>27</v>
      </c>
      <c r="B83" s="85">
        <v>16486.5</v>
      </c>
      <c r="C83" s="71">
        <v>13286.3</v>
      </c>
      <c r="D83" s="71">
        <v>12461.7</v>
      </c>
      <c r="E83" s="48">
        <f>$D:$D/$B:$B*100</f>
        <v>75.5872986989355</v>
      </c>
      <c r="F83" s="48">
        <v>0</v>
      </c>
      <c r="G83" s="85">
        <v>11851.8</v>
      </c>
      <c r="H83" s="48">
        <f t="shared" si="5"/>
        <v>105.14605376398522</v>
      </c>
      <c r="I83" s="82">
        <f>D83-сентябрь!D83</f>
        <v>719.9000000000015</v>
      </c>
    </row>
    <row r="84" spans="1:9" ht="12.75">
      <c r="A84" s="8" t="s">
        <v>28</v>
      </c>
      <c r="B84" s="82">
        <v>8500</v>
      </c>
      <c r="C84" s="71">
        <v>7709.7</v>
      </c>
      <c r="D84" s="71">
        <v>7709.7</v>
      </c>
      <c r="E84" s="48">
        <v>0</v>
      </c>
      <c r="F84" s="48">
        <v>0</v>
      </c>
      <c r="G84" s="82">
        <v>0</v>
      </c>
      <c r="H84" s="48">
        <v>0</v>
      </c>
      <c r="I84" s="82">
        <f>D84-сентябрь!D84</f>
        <v>0</v>
      </c>
    </row>
    <row r="85" spans="1:9" ht="12.75">
      <c r="A85" s="8" t="s">
        <v>29</v>
      </c>
      <c r="B85" s="82">
        <v>21900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D85-сентябрь!D85</f>
        <v>0</v>
      </c>
    </row>
    <row r="86" spans="1:9" ht="12.75">
      <c r="A86" s="1" t="s">
        <v>30</v>
      </c>
      <c r="B86" s="82">
        <v>356216.9</v>
      </c>
      <c r="C86" s="71">
        <v>134293.2</v>
      </c>
      <c r="D86" s="71">
        <v>133962.7</v>
      </c>
      <c r="E86" s="48">
        <f>$D:$D/$B:$B*100</f>
        <v>37.60705906990937</v>
      </c>
      <c r="F86" s="48">
        <f>$D:$D/$C:$C*100</f>
        <v>99.75389669767345</v>
      </c>
      <c r="G86" s="82">
        <v>52127.5</v>
      </c>
      <c r="H86" s="48">
        <f>$D:$D/$G:$G*100</f>
        <v>256.990456093233</v>
      </c>
      <c r="I86" s="82">
        <f>D86-сентябрь!D86</f>
        <v>25865.600000000006</v>
      </c>
    </row>
    <row r="87" spans="1:9" ht="12.75">
      <c r="A87" s="7" t="s">
        <v>31</v>
      </c>
      <c r="B87" s="87">
        <v>455</v>
      </c>
      <c r="C87" s="94">
        <v>311.9</v>
      </c>
      <c r="D87" s="94">
        <v>311.9</v>
      </c>
      <c r="E87" s="86">
        <f>$D:$D/$B:$B*100</f>
        <v>68.54945054945054</v>
      </c>
      <c r="F87" s="86">
        <f>$D:$D/$C:$C*100</f>
        <v>100</v>
      </c>
      <c r="G87" s="30">
        <v>248</v>
      </c>
      <c r="H87" s="86">
        <f>$D:$D/$G:$G*100</f>
        <v>125.76612903225805</v>
      </c>
      <c r="I87" s="30">
        <f>D87-сентябрь!D87</f>
        <v>7.5</v>
      </c>
    </row>
    <row r="88" spans="1:9" ht="25.5">
      <c r="A88" s="9" t="s">
        <v>32</v>
      </c>
      <c r="B88" s="87">
        <v>7254.5</v>
      </c>
      <c r="C88" s="94">
        <v>4844.9</v>
      </c>
      <c r="D88" s="94">
        <v>4644.9</v>
      </c>
      <c r="E88" s="86">
        <f>$D:$D/$B:$B*100</f>
        <v>64.02784478599489</v>
      </c>
      <c r="F88" s="86">
        <f>$D:$D/$C:$C*100</f>
        <v>95.87194782142046</v>
      </c>
      <c r="G88" s="87">
        <v>3473.5</v>
      </c>
      <c r="H88" s="86">
        <f>$D:$D/$G:$G*100</f>
        <v>133.7239096012667</v>
      </c>
      <c r="I88" s="30">
        <f>D88-сентябрь!D88</f>
        <v>436.6999999999998</v>
      </c>
    </row>
    <row r="89" spans="1:9" ht="12.75">
      <c r="A89" s="7" t="s">
        <v>33</v>
      </c>
      <c r="B89" s="30">
        <f>B90+B91+B92+B93+B94+0.1</f>
        <v>633131.1</v>
      </c>
      <c r="C89" s="30">
        <f>C90+C91+C92+C93+C94</f>
        <v>305145.5</v>
      </c>
      <c r="D89" s="30">
        <f>D90+D91+D92+D93+D94</f>
        <v>304196.3</v>
      </c>
      <c r="E89" s="86">
        <f>$D:$D/$B:$B*100</f>
        <v>48.04633669077384</v>
      </c>
      <c r="F89" s="86">
        <f>$D:$D/$C:$C*100</f>
        <v>99.68893527841635</v>
      </c>
      <c r="G89" s="30">
        <f>G90+G91+G92+G93+G94</f>
        <v>199320</v>
      </c>
      <c r="H89" s="86">
        <f>$D:$D/$G:$G*100</f>
        <v>152.61704796307444</v>
      </c>
      <c r="I89" s="30">
        <f>D89-сентябрь!D89</f>
        <v>99546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>D90-сентябрь!D90</f>
        <v>0</v>
      </c>
    </row>
    <row r="91" spans="1:9" ht="12.75" customHeight="1">
      <c r="A91" s="10" t="s">
        <v>67</v>
      </c>
      <c r="B91" s="82">
        <v>0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>D91-сентябрь!D91</f>
        <v>0</v>
      </c>
    </row>
    <row r="92" spans="1:9" ht="12.75">
      <c r="A92" s="8" t="s">
        <v>34</v>
      </c>
      <c r="B92" s="82">
        <v>27875.6</v>
      </c>
      <c r="C92" s="71">
        <v>20846.6</v>
      </c>
      <c r="D92" s="71">
        <v>20846.6</v>
      </c>
      <c r="E92" s="48">
        <f>$D:$D/$B:$B*100</f>
        <v>74.78439925956751</v>
      </c>
      <c r="F92" s="48">
        <v>0</v>
      </c>
      <c r="G92" s="82">
        <v>19542</v>
      </c>
      <c r="H92" s="48">
        <f>$D:$D/$G:$G*100</f>
        <v>106.67587759697061</v>
      </c>
      <c r="I92" s="82">
        <f>D92-сентябрь!D92</f>
        <v>2290.7999999999993</v>
      </c>
    </row>
    <row r="93" spans="1:9" ht="12.75">
      <c r="A93" s="10" t="s">
        <v>77</v>
      </c>
      <c r="B93" s="85">
        <v>561030.5</v>
      </c>
      <c r="C93" s="71">
        <v>257218.5</v>
      </c>
      <c r="D93" s="71">
        <v>257218.5</v>
      </c>
      <c r="E93" s="48">
        <f>$D:$D/$B:$B*100</f>
        <v>45.84750739933034</v>
      </c>
      <c r="F93" s="48">
        <f>$D:$D/$C:$C*100</f>
        <v>100</v>
      </c>
      <c r="G93" s="85">
        <v>155327.5</v>
      </c>
      <c r="H93" s="48">
        <f>$D:$D/$G:$G*100</f>
        <v>165.59752780415573</v>
      </c>
      <c r="I93" s="82">
        <f>D93-сентябрь!D93</f>
        <v>94060.4</v>
      </c>
    </row>
    <row r="94" spans="1:9" ht="12.75">
      <c r="A94" s="8" t="s">
        <v>35</v>
      </c>
      <c r="B94" s="82">
        <v>44224.9</v>
      </c>
      <c r="C94" s="71">
        <v>27080.4</v>
      </c>
      <c r="D94" s="71">
        <v>26131.2</v>
      </c>
      <c r="E94" s="48">
        <f>$D:$D/$B:$B*100</f>
        <v>59.087075380611374</v>
      </c>
      <c r="F94" s="48">
        <f>$D:$D/$C:$C*100</f>
        <v>96.49488190720965</v>
      </c>
      <c r="G94" s="82">
        <v>24450.5</v>
      </c>
      <c r="H94" s="48">
        <f>$D:$D/$G:$G*100</f>
        <v>106.87388805954889</v>
      </c>
      <c r="I94" s="82">
        <f>D94-сентябрь!D94</f>
        <v>3194.7999999999993</v>
      </c>
    </row>
    <row r="95" spans="1:9" ht="12.75">
      <c r="A95" s="7" t="s">
        <v>36</v>
      </c>
      <c r="B95" s="30">
        <f>B97+B98+B99+B96</f>
        <v>802829.1</v>
      </c>
      <c r="C95" s="86">
        <f>C97+C98+C99+C96</f>
        <v>308390.56</v>
      </c>
      <c r="D95" s="30">
        <f>D97+D98+D99+D96</f>
        <v>304712.60000000003</v>
      </c>
      <c r="E95" s="30">
        <f>E98+E99+E96</f>
        <v>71.90507340937111</v>
      </c>
      <c r="F95" s="86">
        <f>$D:$D/$C:$C*100</f>
        <v>98.80736946033628</v>
      </c>
      <c r="G95" s="30">
        <f>G97+G98+G99+G96</f>
        <v>215157.9</v>
      </c>
      <c r="H95" s="30">
        <f>H97+H98+H99</f>
        <v>490.735710533533</v>
      </c>
      <c r="I95" s="30">
        <f>D95-сентябрь!D95</f>
        <v>35542.80000000005</v>
      </c>
    </row>
    <row r="96" spans="1:9" ht="12.75">
      <c r="A96" s="8" t="s">
        <v>37</v>
      </c>
      <c r="B96" s="71">
        <v>59691.9</v>
      </c>
      <c r="C96" s="71">
        <v>28881.06</v>
      </c>
      <c r="D96" s="71">
        <v>26492.7</v>
      </c>
      <c r="E96" s="48">
        <v>0</v>
      </c>
      <c r="F96" s="48">
        <v>0</v>
      </c>
      <c r="G96" s="71">
        <v>67977.5</v>
      </c>
      <c r="H96" s="48">
        <f>$D:$D/$G:$G*100</f>
        <v>38.97274833584642</v>
      </c>
      <c r="I96" s="82">
        <f>D96-сентябрь!D96</f>
        <v>14468</v>
      </c>
    </row>
    <row r="97" spans="1:9" ht="12.75">
      <c r="A97" s="8" t="s">
        <v>38</v>
      </c>
      <c r="B97" s="82">
        <v>26447.1</v>
      </c>
      <c r="C97" s="71">
        <v>10089.4</v>
      </c>
      <c r="D97" s="71">
        <v>9806.5</v>
      </c>
      <c r="E97" s="48">
        <f aca="true" t="shared" si="6" ref="E97:E102">$D:$D/$B:$B*100</f>
        <v>37.07967981366577</v>
      </c>
      <c r="F97" s="48">
        <v>0</v>
      </c>
      <c r="G97" s="82">
        <v>13227.9</v>
      </c>
      <c r="H97" s="48">
        <f>$D:$D/$G:$G*100</f>
        <v>74.13497229341014</v>
      </c>
      <c r="I97" s="82">
        <f>D97-сентябрь!D97</f>
        <v>8988.7</v>
      </c>
    </row>
    <row r="98" spans="1:9" ht="12.75">
      <c r="A98" s="8" t="s">
        <v>39</v>
      </c>
      <c r="B98" s="82">
        <v>473152.9</v>
      </c>
      <c r="C98" s="71">
        <v>192267.3</v>
      </c>
      <c r="D98" s="71">
        <v>192252.2</v>
      </c>
      <c r="E98" s="48">
        <f t="shared" si="6"/>
        <v>40.632150833271865</v>
      </c>
      <c r="F98" s="48">
        <f>$D:$D/$C:$C*100</f>
        <v>99.99214635041945</v>
      </c>
      <c r="G98" s="82">
        <v>61812</v>
      </c>
      <c r="H98" s="48">
        <f>$D:$D/$G:$G*100</f>
        <v>311.02730861321425</v>
      </c>
      <c r="I98" s="82">
        <f>D98-сентябрь!D98</f>
        <v>10819.100000000006</v>
      </c>
    </row>
    <row r="99" spans="1:9" ht="27" customHeight="1">
      <c r="A99" s="97" t="s">
        <v>188</v>
      </c>
      <c r="B99" s="82">
        <v>243537.2</v>
      </c>
      <c r="C99" s="71">
        <v>77152.8</v>
      </c>
      <c r="D99" s="71">
        <v>76161.2</v>
      </c>
      <c r="E99" s="48">
        <f t="shared" si="6"/>
        <v>31.272922576099255</v>
      </c>
      <c r="F99" s="48">
        <f>$D:$D/$C:$C*100</f>
        <v>98.71475824597421</v>
      </c>
      <c r="G99" s="82">
        <v>72140.5</v>
      </c>
      <c r="H99" s="48">
        <f>$D:$D/$G:$G*100</f>
        <v>105.57342962690859</v>
      </c>
      <c r="I99" s="82">
        <f>D99-сентябрь!D99</f>
        <v>1267</v>
      </c>
    </row>
    <row r="100" spans="1:9" ht="12.75">
      <c r="A100" s="11" t="s">
        <v>115</v>
      </c>
      <c r="B100" s="30">
        <f>B101+B102</f>
        <v>17914.8</v>
      </c>
      <c r="C100" s="30">
        <f>C101+C102</f>
        <v>1059</v>
      </c>
      <c r="D100" s="30">
        <f>D101+D102</f>
        <v>1059</v>
      </c>
      <c r="E100" s="86">
        <f t="shared" si="6"/>
        <v>5.911313550807154</v>
      </c>
      <c r="F100" s="86"/>
      <c r="G100" s="30">
        <f>G101+G102</f>
        <v>781.9</v>
      </c>
      <c r="H100" s="30">
        <f>H101</f>
        <v>135.43931449034403</v>
      </c>
      <c r="I100" s="30">
        <f>D100-сентябрь!D100</f>
        <v>170.39999999999998</v>
      </c>
    </row>
    <row r="101" spans="1:9" ht="25.5">
      <c r="A101" s="41" t="s">
        <v>143</v>
      </c>
      <c r="B101" s="82">
        <v>2063.8</v>
      </c>
      <c r="C101" s="71">
        <v>1059</v>
      </c>
      <c r="D101" s="71">
        <v>1059</v>
      </c>
      <c r="E101" s="48">
        <f t="shared" si="6"/>
        <v>51.313111735633285</v>
      </c>
      <c r="F101" s="48"/>
      <c r="G101" s="82">
        <v>781.9</v>
      </c>
      <c r="H101" s="48">
        <f>$D:$D/$G:$G*100</f>
        <v>135.43931449034403</v>
      </c>
      <c r="I101" s="82">
        <f>D101-сентябрь!D101</f>
        <v>170.39999999999998</v>
      </c>
    </row>
    <row r="102" spans="1:9" ht="25.5">
      <c r="A102" s="8" t="s">
        <v>169</v>
      </c>
      <c r="B102" s="82">
        <v>15851</v>
      </c>
      <c r="C102" s="71">
        <v>0</v>
      </c>
      <c r="D102" s="71">
        <v>0</v>
      </c>
      <c r="E102" s="48">
        <f t="shared" si="6"/>
        <v>0</v>
      </c>
      <c r="F102" s="48"/>
      <c r="G102" s="82">
        <v>0</v>
      </c>
      <c r="H102" s="48">
        <v>0</v>
      </c>
      <c r="I102" s="82">
        <f>D102-сентябрь!D102</f>
        <v>0</v>
      </c>
    </row>
    <row r="103" spans="1:9" ht="12.75">
      <c r="A103" s="11" t="s">
        <v>41</v>
      </c>
      <c r="B103" s="30">
        <f>B104+B105+B107+B108+B109+B106</f>
        <v>1771705</v>
      </c>
      <c r="C103" s="30">
        <f>C104+C105+C107+C108+C109+C106</f>
        <v>1361324.29</v>
      </c>
      <c r="D103" s="30">
        <f>D104+D105+D107+D108+D109+D106</f>
        <v>1361114.2</v>
      </c>
      <c r="E103" s="30">
        <f>E104+E105+E108+E109+E107</f>
        <v>372.12876580484465</v>
      </c>
      <c r="F103" s="30">
        <f>F104+F105+F108+F109+F107</f>
        <v>499.8565794430126</v>
      </c>
      <c r="G103" s="30">
        <f>G104+G105+G106+G108+G109+G107</f>
        <v>1213778.8</v>
      </c>
      <c r="H103" s="30">
        <f>H104+H105+H108+H109+H107</f>
        <v>493.0860441878644</v>
      </c>
      <c r="I103" s="30">
        <f>D103-сентябрь!D103</f>
        <v>144115.30000000005</v>
      </c>
    </row>
    <row r="104" spans="1:9" ht="12.75">
      <c r="A104" s="8" t="s">
        <v>42</v>
      </c>
      <c r="B104" s="82">
        <v>662207.4</v>
      </c>
      <c r="C104" s="71">
        <v>515314</v>
      </c>
      <c r="D104" s="71">
        <v>515314</v>
      </c>
      <c r="E104" s="48">
        <f aca="true" t="shared" si="7" ref="E104:E122">$D:$D/$B:$B*100</f>
        <v>77.81761423988918</v>
      </c>
      <c r="F104" s="48">
        <f aca="true" t="shared" si="8" ref="F104:F112">$D:$D/$C:$C*100</f>
        <v>100</v>
      </c>
      <c r="G104" s="82">
        <v>471489</v>
      </c>
      <c r="H104" s="48">
        <f aca="true" t="shared" si="9" ref="H104:H112">$D:$D/$G:$G*100</f>
        <v>109.29502066856278</v>
      </c>
      <c r="I104" s="82">
        <f>D104-сентябрь!D104</f>
        <v>54274.09999999998</v>
      </c>
    </row>
    <row r="105" spans="1:9" ht="12.75">
      <c r="A105" s="8" t="s">
        <v>43</v>
      </c>
      <c r="B105" s="82">
        <v>718107.4</v>
      </c>
      <c r="C105" s="71">
        <v>555066.6</v>
      </c>
      <c r="D105" s="71">
        <v>555048.2</v>
      </c>
      <c r="E105" s="48">
        <f t="shared" si="7"/>
        <v>77.2932015461754</v>
      </c>
      <c r="F105" s="48">
        <f t="shared" si="8"/>
        <v>99.99668508247478</v>
      </c>
      <c r="G105" s="82">
        <v>479334.3</v>
      </c>
      <c r="H105" s="48">
        <f t="shared" si="9"/>
        <v>115.79563573898216</v>
      </c>
      <c r="I105" s="82">
        <f>D105-сентябрь!D105</f>
        <v>61387.19999999995</v>
      </c>
    </row>
    <row r="106" spans="1:9" ht="12.75">
      <c r="A106" s="22" t="s">
        <v>105</v>
      </c>
      <c r="B106" s="82">
        <v>158947.7</v>
      </c>
      <c r="C106" s="71">
        <v>114929.2</v>
      </c>
      <c r="D106" s="71">
        <v>114929.2</v>
      </c>
      <c r="E106" s="48">
        <f t="shared" si="7"/>
        <v>72.30629949348119</v>
      </c>
      <c r="F106" s="48">
        <f t="shared" si="8"/>
        <v>100</v>
      </c>
      <c r="G106" s="82">
        <v>99558.2</v>
      </c>
      <c r="H106" s="48">
        <f t="shared" si="9"/>
        <v>115.43921043168719</v>
      </c>
      <c r="I106" s="82">
        <f>D106-сентябрь!D106</f>
        <v>13004.399999999994</v>
      </c>
    </row>
    <row r="107" spans="1:9" ht="25.5">
      <c r="A107" s="8" t="s">
        <v>123</v>
      </c>
      <c r="B107" s="82">
        <v>715.8</v>
      </c>
      <c r="C107" s="71">
        <v>458.7</v>
      </c>
      <c r="D107" s="71">
        <v>458.7</v>
      </c>
      <c r="E107" s="48">
        <f t="shared" si="7"/>
        <v>64.08214585079631</v>
      </c>
      <c r="F107" s="48">
        <f t="shared" si="8"/>
        <v>100</v>
      </c>
      <c r="G107" s="82">
        <v>813.7</v>
      </c>
      <c r="H107" s="48">
        <f t="shared" si="9"/>
        <v>56.37212731965098</v>
      </c>
      <c r="I107" s="82">
        <f>D107-сентябрь!D107</f>
        <v>36.099999999999966</v>
      </c>
    </row>
    <row r="108" spans="1:9" ht="12.75">
      <c r="A108" s="8" t="s">
        <v>44</v>
      </c>
      <c r="B108" s="82">
        <v>49756.8</v>
      </c>
      <c r="C108" s="71">
        <v>38737.6</v>
      </c>
      <c r="D108" s="71">
        <v>38737.6</v>
      </c>
      <c r="E108" s="48">
        <f t="shared" si="7"/>
        <v>77.85388127853881</v>
      </c>
      <c r="F108" s="48">
        <f t="shared" si="8"/>
        <v>100</v>
      </c>
      <c r="G108" s="82">
        <v>37991.3</v>
      </c>
      <c r="H108" s="48">
        <f t="shared" si="9"/>
        <v>101.96439711197036</v>
      </c>
      <c r="I108" s="82">
        <f>D108-сентябрь!D108</f>
        <v>1712.9000000000015</v>
      </c>
    </row>
    <row r="109" spans="1:9" ht="12.75">
      <c r="A109" s="8" t="s">
        <v>45</v>
      </c>
      <c r="B109" s="82">
        <v>181969.9</v>
      </c>
      <c r="C109" s="71">
        <v>136818.19</v>
      </c>
      <c r="D109" s="71">
        <v>136626.5</v>
      </c>
      <c r="E109" s="48">
        <f t="shared" si="7"/>
        <v>75.08192288944491</v>
      </c>
      <c r="F109" s="48">
        <f t="shared" si="8"/>
        <v>99.85989436053788</v>
      </c>
      <c r="G109" s="85">
        <v>124592.3</v>
      </c>
      <c r="H109" s="48">
        <f t="shared" si="9"/>
        <v>109.65886334869812</v>
      </c>
      <c r="I109" s="82">
        <f>D109-сентябрь!D109</f>
        <v>13700.600000000006</v>
      </c>
    </row>
    <row r="110" spans="1:9" ht="25.5">
      <c r="A110" s="11" t="s">
        <v>46</v>
      </c>
      <c r="B110" s="30">
        <f>B111+B112</f>
        <v>345342.5</v>
      </c>
      <c r="C110" s="30">
        <f>C111+C112</f>
        <v>167131.7</v>
      </c>
      <c r="D110" s="30">
        <f>D111+D112</f>
        <v>167129.8</v>
      </c>
      <c r="E110" s="86">
        <f t="shared" si="7"/>
        <v>48.39537560537727</v>
      </c>
      <c r="F110" s="86">
        <f t="shared" si="8"/>
        <v>99.99886317197753</v>
      </c>
      <c r="G110" s="30">
        <f>G111+G112</f>
        <v>122164.70000000001</v>
      </c>
      <c r="H110" s="86">
        <f t="shared" si="9"/>
        <v>136.8069499618138</v>
      </c>
      <c r="I110" s="30">
        <f>D110-сентябрь!D110</f>
        <v>17359.199999999983</v>
      </c>
    </row>
    <row r="111" spans="1:9" ht="12.75">
      <c r="A111" s="8" t="s">
        <v>47</v>
      </c>
      <c r="B111" s="82">
        <v>265118.6</v>
      </c>
      <c r="C111" s="71">
        <v>142629.5</v>
      </c>
      <c r="D111" s="71">
        <v>142629.5</v>
      </c>
      <c r="E111" s="48">
        <f t="shared" si="7"/>
        <v>53.79837551948449</v>
      </c>
      <c r="F111" s="48">
        <f t="shared" si="8"/>
        <v>100</v>
      </c>
      <c r="G111" s="82">
        <v>100946.6</v>
      </c>
      <c r="H111" s="48">
        <f t="shared" si="9"/>
        <v>141.2920296473581</v>
      </c>
      <c r="I111" s="82">
        <f>D111-сентябрь!D111</f>
        <v>15600.600000000006</v>
      </c>
    </row>
    <row r="112" spans="1:9" ht="25.5">
      <c r="A112" s="8" t="s">
        <v>48</v>
      </c>
      <c r="B112" s="82">
        <v>80223.9</v>
      </c>
      <c r="C112" s="71">
        <v>24502.2</v>
      </c>
      <c r="D112" s="71">
        <v>24500.3</v>
      </c>
      <c r="E112" s="48">
        <f t="shared" si="7"/>
        <v>30.539901450814533</v>
      </c>
      <c r="F112" s="48">
        <f t="shared" si="8"/>
        <v>99.99224559427317</v>
      </c>
      <c r="G112" s="82">
        <v>21218.1</v>
      </c>
      <c r="H112" s="48">
        <f t="shared" si="9"/>
        <v>115.46886856033294</v>
      </c>
      <c r="I112" s="82">
        <f>D112-сентябрь!D112</f>
        <v>1758.5999999999985</v>
      </c>
    </row>
    <row r="113" spans="1:9" ht="12.75">
      <c r="A113" s="11" t="s">
        <v>97</v>
      </c>
      <c r="B113" s="30">
        <f>B114</f>
        <v>195.76</v>
      </c>
      <c r="C113" s="30">
        <f>C114</f>
        <v>195.8</v>
      </c>
      <c r="D113" s="30">
        <f>D114</f>
        <v>195.8</v>
      </c>
      <c r="E113" s="86">
        <f t="shared" si="7"/>
        <v>100.02043318348998</v>
      </c>
      <c r="F113" s="86">
        <v>0</v>
      </c>
      <c r="G113" s="30">
        <f>G114</f>
        <v>42.5</v>
      </c>
      <c r="H113" s="48">
        <v>0</v>
      </c>
      <c r="I113" s="30">
        <f>D113-сентябрь!D113</f>
        <v>0</v>
      </c>
    </row>
    <row r="114" spans="1:9" ht="12.75">
      <c r="A114" s="8" t="s">
        <v>98</v>
      </c>
      <c r="B114" s="82">
        <v>195.76</v>
      </c>
      <c r="C114" s="82">
        <v>195.8</v>
      </c>
      <c r="D114" s="82">
        <v>195.8</v>
      </c>
      <c r="E114" s="48">
        <f t="shared" si="7"/>
        <v>100.02043318348998</v>
      </c>
      <c r="F114" s="48">
        <v>0</v>
      </c>
      <c r="G114" s="82">
        <v>42.5</v>
      </c>
      <c r="H114" s="48">
        <v>0</v>
      </c>
      <c r="I114" s="82">
        <f>D114-сентябрь!D114</f>
        <v>0</v>
      </c>
    </row>
    <row r="115" spans="1:9" ht="12.75">
      <c r="A115" s="11" t="s">
        <v>49</v>
      </c>
      <c r="B115" s="30">
        <f>B116+B117+B118+B119+B120</f>
        <v>185007.8</v>
      </c>
      <c r="C115" s="30">
        <f>C116+C117+C118+C119+C120</f>
        <v>113744.3</v>
      </c>
      <c r="D115" s="30">
        <f>D116+D117+D118+D119+D120</f>
        <v>105937.4</v>
      </c>
      <c r="E115" s="86">
        <f t="shared" si="7"/>
        <v>57.26104520998574</v>
      </c>
      <c r="F115" s="86">
        <f>$D:$D/$C:$C*100</f>
        <v>93.13644727691849</v>
      </c>
      <c r="G115" s="30">
        <f>G116+G117+G118+G119+G120</f>
        <v>79023.8</v>
      </c>
      <c r="H115" s="86">
        <f aca="true" t="shared" si="10" ref="H115:H124">$D:$D/$G:$G*100</f>
        <v>134.05758771408108</v>
      </c>
      <c r="I115" s="30">
        <f>D115-сентябрь!D115</f>
        <v>17558.09999999999</v>
      </c>
    </row>
    <row r="116" spans="1:9" ht="12.75">
      <c r="A116" s="8" t="s">
        <v>50</v>
      </c>
      <c r="B116" s="82">
        <f>2909.75</f>
        <v>2909.75</v>
      </c>
      <c r="C116" s="71">
        <v>1893.3</v>
      </c>
      <c r="D116" s="71">
        <v>1889.4</v>
      </c>
      <c r="E116" s="48">
        <f t="shared" si="7"/>
        <v>64.93341352349859</v>
      </c>
      <c r="F116" s="48">
        <v>0</v>
      </c>
      <c r="G116" s="82">
        <v>2115.9</v>
      </c>
      <c r="H116" s="48">
        <f t="shared" si="10"/>
        <v>89.29533531830427</v>
      </c>
      <c r="I116" s="82">
        <f>D116-сентябрь!D116</f>
        <v>209.60000000000014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 t="shared" si="7"/>
        <v>#DIV/0!</v>
      </c>
      <c r="F117" s="48" t="e">
        <f>$D:$D/$C:$C*100</f>
        <v>#DIV/0!</v>
      </c>
      <c r="G117" s="82">
        <v>0</v>
      </c>
      <c r="H117" s="48" t="e">
        <f t="shared" si="10"/>
        <v>#DIV/0!</v>
      </c>
      <c r="I117" s="82">
        <f>D117-сентябрь!D117</f>
        <v>0</v>
      </c>
    </row>
    <row r="118" spans="1:9" ht="12.75">
      <c r="A118" s="8" t="s">
        <v>52</v>
      </c>
      <c r="B118" s="85">
        <v>90352.05</v>
      </c>
      <c r="C118" s="71">
        <v>55866.4</v>
      </c>
      <c r="D118" s="71">
        <v>55866.4</v>
      </c>
      <c r="E118" s="48">
        <f t="shared" si="7"/>
        <v>61.83191194887111</v>
      </c>
      <c r="F118" s="48">
        <v>0</v>
      </c>
      <c r="G118" s="82">
        <v>47791.2</v>
      </c>
      <c r="H118" s="48">
        <f t="shared" si="10"/>
        <v>116.89683456368539</v>
      </c>
      <c r="I118" s="82">
        <f>D118-сентябрь!D118</f>
        <v>9755.900000000001</v>
      </c>
    </row>
    <row r="119" spans="1:9" ht="12.75">
      <c r="A119" s="8" t="s">
        <v>53</v>
      </c>
      <c r="B119" s="82">
        <v>89318.7</v>
      </c>
      <c r="C119" s="71">
        <v>54178.1</v>
      </c>
      <c r="D119" s="71">
        <v>46505.1</v>
      </c>
      <c r="E119" s="48">
        <f t="shared" si="7"/>
        <v>52.066476560899346</v>
      </c>
      <c r="F119" s="48">
        <f>$D:$D/$C:$C*100</f>
        <v>85.83745092574306</v>
      </c>
      <c r="G119" s="85">
        <v>27789.2</v>
      </c>
      <c r="H119" s="48">
        <f t="shared" si="10"/>
        <v>167.3495458667396</v>
      </c>
      <c r="I119" s="82">
        <f>D119-сентябрь!D119</f>
        <v>7484.4000000000015</v>
      </c>
    </row>
    <row r="120" spans="1:9" ht="12.75">
      <c r="A120" s="8" t="s">
        <v>54</v>
      </c>
      <c r="B120" s="82">
        <v>2427.3</v>
      </c>
      <c r="C120" s="71">
        <v>1806.5</v>
      </c>
      <c r="D120" s="71">
        <v>1676.5</v>
      </c>
      <c r="E120" s="48">
        <f t="shared" si="7"/>
        <v>69.06851233881267</v>
      </c>
      <c r="F120" s="48"/>
      <c r="G120" s="82">
        <v>1327.5</v>
      </c>
      <c r="H120" s="48">
        <f t="shared" si="10"/>
        <v>126.29001883239171</v>
      </c>
      <c r="I120" s="82">
        <f>D120-сентябрь!D120</f>
        <v>108.20000000000005</v>
      </c>
    </row>
    <row r="121" spans="1:9" ht="12.75">
      <c r="A121" s="11" t="s">
        <v>61</v>
      </c>
      <c r="B121" s="86">
        <f>B122+B123+B124</f>
        <v>227012.9</v>
      </c>
      <c r="C121" s="86">
        <f>C122+C123+C124</f>
        <v>171805.40000000002</v>
      </c>
      <c r="D121" s="86">
        <f>D122+D123+D124</f>
        <v>171513.30000000002</v>
      </c>
      <c r="E121" s="86">
        <f t="shared" si="7"/>
        <v>75.55222632722635</v>
      </c>
      <c r="F121" s="86">
        <f>$D:$D/$C:$C*100</f>
        <v>99.82998206109936</v>
      </c>
      <c r="G121" s="87">
        <f>G122+G123+G124</f>
        <v>69283.40000000001</v>
      </c>
      <c r="H121" s="86">
        <f t="shared" si="10"/>
        <v>247.55323786072853</v>
      </c>
      <c r="I121" s="30">
        <f>D121-сентябрь!D121</f>
        <v>11721.400000000023</v>
      </c>
    </row>
    <row r="122" spans="1:9" ht="12.75">
      <c r="A122" s="41" t="s">
        <v>62</v>
      </c>
      <c r="B122" s="85">
        <v>102371.8</v>
      </c>
      <c r="C122" s="71">
        <v>74163.1</v>
      </c>
      <c r="D122" s="71">
        <v>74163.1</v>
      </c>
      <c r="E122" s="48">
        <f t="shared" si="7"/>
        <v>72.4448529770894</v>
      </c>
      <c r="F122" s="48">
        <f>$D:$D/$C:$C*100</f>
        <v>100</v>
      </c>
      <c r="G122" s="85">
        <v>52954.1</v>
      </c>
      <c r="H122" s="48">
        <f t="shared" si="10"/>
        <v>140.05166738741664</v>
      </c>
      <c r="I122" s="82">
        <f>D122-сентябрь!D122</f>
        <v>6099.900000000009</v>
      </c>
    </row>
    <row r="123" spans="1:9" ht="24.75" customHeight="1">
      <c r="A123" s="12" t="s">
        <v>63</v>
      </c>
      <c r="B123" s="85">
        <v>120270.8</v>
      </c>
      <c r="C123" s="71">
        <v>94155.1</v>
      </c>
      <c r="D123" s="71">
        <v>94155.1</v>
      </c>
      <c r="E123" s="48">
        <v>0</v>
      </c>
      <c r="F123" s="48">
        <v>0</v>
      </c>
      <c r="G123" s="85">
        <v>13281.5</v>
      </c>
      <c r="H123" s="48">
        <f t="shared" si="10"/>
        <v>708.91917328615</v>
      </c>
      <c r="I123" s="82">
        <f>D123-сентябрь!D123</f>
        <v>5507</v>
      </c>
    </row>
    <row r="124" spans="1:9" ht="25.5">
      <c r="A124" s="12" t="s">
        <v>73</v>
      </c>
      <c r="B124" s="85">
        <v>4370.3</v>
      </c>
      <c r="C124" s="71">
        <v>3487.2</v>
      </c>
      <c r="D124" s="71">
        <v>3195.1</v>
      </c>
      <c r="E124" s="48">
        <f>$D:$D/$B:$B*100</f>
        <v>73.10939752419742</v>
      </c>
      <c r="F124" s="48">
        <f>$D:$D/$C:$C*100</f>
        <v>91.62365221381052</v>
      </c>
      <c r="G124" s="85">
        <v>3047.8</v>
      </c>
      <c r="H124" s="48">
        <f t="shared" si="10"/>
        <v>104.83299429096395</v>
      </c>
      <c r="I124" s="82">
        <f>D124-сентябрь!D124</f>
        <v>114.5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87">
        <f>G126</f>
        <v>14.9</v>
      </c>
      <c r="H125" s="48">
        <v>0</v>
      </c>
      <c r="I125" s="30">
        <f>D125-сентябрь!D125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85">
        <v>14.9</v>
      </c>
      <c r="H126" s="48">
        <v>0</v>
      </c>
      <c r="I126" s="82">
        <f>D126-сентябрь!D126</f>
        <v>0</v>
      </c>
    </row>
    <row r="127" spans="1:9" ht="15.75" customHeight="1">
      <c r="A127" s="14" t="s">
        <v>55</v>
      </c>
      <c r="B127" s="30">
        <f>B78+B87+B88+B89+B95+B103+B110+B113+B115+B121+B125+B100</f>
        <v>4473918.22</v>
      </c>
      <c r="C127" s="30">
        <f>C78+C87+C88+C89+C95+C103+C110+C113+C115+C121+C125+C100</f>
        <v>2647265.86384</v>
      </c>
      <c r="D127" s="30">
        <f>D78+D87+D88+D89+D95+D103+D110+D113+D115+D121+D125+D100</f>
        <v>2630269.9838399994</v>
      </c>
      <c r="E127" s="86">
        <f>$D:$D/$B:$B*100</f>
        <v>58.791194977184894</v>
      </c>
      <c r="F127" s="86">
        <f>$D:$D/$C:$C*100</f>
        <v>99.35798363767864</v>
      </c>
      <c r="G127" s="30">
        <f>G78+G87+G88+G89+G95+G103+G110+G113+G115+G121+G125+G100</f>
        <v>2022066.0999999996</v>
      </c>
      <c r="H127" s="86">
        <f>$D:$D/$G:$G*100</f>
        <v>130.0783383807285</v>
      </c>
      <c r="I127" s="30">
        <f>D127-сентябрь!D127</f>
        <v>357349.16999999946</v>
      </c>
    </row>
    <row r="128" spans="1:9" ht="26.25" customHeight="1">
      <c r="A128" s="15" t="s">
        <v>56</v>
      </c>
      <c r="B128" s="30">
        <f>B72-B127</f>
        <v>-63059.81999999937</v>
      </c>
      <c r="C128" s="30">
        <f>C72-C127</f>
        <v>236411.63616000023</v>
      </c>
      <c r="D128" s="30">
        <f>D72-D127</f>
        <v>227174.51616000058</v>
      </c>
      <c r="E128" s="30"/>
      <c r="F128" s="30"/>
      <c r="G128" s="30">
        <f>G76-G127</f>
        <v>-2022066.0999999996</v>
      </c>
      <c r="H128" s="30"/>
      <c r="I128" s="30">
        <f>D128-сентябрь!D128</f>
        <v>-37990.56999999983</v>
      </c>
    </row>
    <row r="129" spans="1:9" ht="24" customHeight="1">
      <c r="A129" s="1" t="s">
        <v>57</v>
      </c>
      <c r="B129" s="85" t="s">
        <v>165</v>
      </c>
      <c r="C129" s="85"/>
      <c r="D129" s="85" t="s">
        <v>189</v>
      </c>
      <c r="E129" s="85"/>
      <c r="F129" s="85"/>
      <c r="G129" s="89" t="s">
        <v>190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257995</v>
      </c>
      <c r="E130" s="85"/>
      <c r="F130" s="85"/>
      <c r="G130" s="88">
        <f>G132+G133</f>
        <v>61069.7</v>
      </c>
      <c r="H130" s="85"/>
      <c r="I130" s="30">
        <f>D130-сентябрь!D130</f>
        <v>-37992.390000000014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89"/>
      <c r="H131" s="85"/>
      <c r="I131" s="82"/>
    </row>
    <row r="132" spans="1:9" ht="12.75">
      <c r="A132" s="5" t="s">
        <v>59</v>
      </c>
      <c r="B132" s="85">
        <f>Март!B130</f>
        <v>24892.3</v>
      </c>
      <c r="C132" s="85"/>
      <c r="D132" s="85">
        <v>219289.8</v>
      </c>
      <c r="E132" s="85"/>
      <c r="F132" s="85"/>
      <c r="G132" s="89">
        <v>16114.7</v>
      </c>
      <c r="H132" s="85"/>
      <c r="I132" s="82">
        <f>D132-сентябрь!D132</f>
        <v>-38023.71000000002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257995-D132</f>
        <v>38705.20000000001</v>
      </c>
      <c r="E133" s="85"/>
      <c r="F133" s="85"/>
      <c r="G133" s="89">
        <f>61069.7-G132</f>
        <v>44955</v>
      </c>
      <c r="H133" s="85"/>
      <c r="I133" s="82">
        <f>D133-сентябрь!D133</f>
        <v>31.320000000006985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88">
        <f>G135-G136</f>
        <v>0</v>
      </c>
      <c r="H134" s="90"/>
      <c r="I134" s="30">
        <f>D134-сентябрь!D134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89">
        <f>'[1]сентябрь'!G134</f>
        <v>0</v>
      </c>
      <c r="H135" s="91"/>
      <c r="I135" s="82">
        <f>D135-сентябрь!D135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89">
        <f>'[1]сентябрь'!G135</f>
        <v>0</v>
      </c>
      <c r="H136" s="91"/>
      <c r="I136" s="82">
        <f>D136-сентябрь!D136</f>
        <v>0</v>
      </c>
    </row>
    <row r="137" spans="1:9" ht="12.75">
      <c r="A137" s="16"/>
      <c r="B137" s="25"/>
      <c r="C137" s="25"/>
      <c r="D137" s="25"/>
      <c r="E137" s="25"/>
      <c r="F137" s="25"/>
      <c r="G137" s="103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105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0" sqref="D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104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191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194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99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0">
        <f>B8+B16+B21+B26+B29+B36++B45+B46+B47+B51+B62+0.1</f>
        <v>707422.1999999998</v>
      </c>
      <c r="C7" s="30">
        <f>C8+C16+C21+C26+C29+C36++C45+C46+C47+C51+C62</f>
        <v>618188.4</v>
      </c>
      <c r="D7" s="30">
        <f>D8+D16+D21+D26+D29+D36++D45+D46+D47+D51+D62</f>
        <v>634573.1</v>
      </c>
      <c r="E7" s="86">
        <f aca="true" t="shared" si="0" ref="E7:E22">$D:$D/$B:$B*100</f>
        <v>89.70217502362806</v>
      </c>
      <c r="F7" s="86">
        <v>27699.089999999997</v>
      </c>
      <c r="G7" s="30">
        <f>G8+G16+G21+G26+G29+G33+G36+G45+G46+G47+G64+G63</f>
        <v>2852638.75</v>
      </c>
      <c r="H7" s="86">
        <f aca="true" t="shared" si="1" ref="H7:H48">$D:$D/$G:$G*100</f>
        <v>22.245126551688326</v>
      </c>
      <c r="I7" s="30">
        <f>D7-октябрь!D7</f>
        <v>62112.40000000014</v>
      </c>
    </row>
    <row r="8" spans="1:9" ht="15" customHeight="1">
      <c r="A8" s="52" t="s">
        <v>4</v>
      </c>
      <c r="B8" s="86">
        <f>B9+B10</f>
        <v>380691.89999999997</v>
      </c>
      <c r="C8" s="86">
        <f>C9+C10</f>
        <v>326953.5</v>
      </c>
      <c r="D8" s="86">
        <f>D9+D10-0.1</f>
        <v>329154.60000000003</v>
      </c>
      <c r="E8" s="86">
        <f t="shared" si="0"/>
        <v>86.46220211147127</v>
      </c>
      <c r="F8" s="86">
        <v>10645.39</v>
      </c>
      <c r="G8" s="86">
        <f>G9+G10</f>
        <v>256543.82000000004</v>
      </c>
      <c r="H8" s="86">
        <f t="shared" si="1"/>
        <v>128.30346098378047</v>
      </c>
      <c r="I8" s="30">
        <f>D8-сентябрь!D8</f>
        <v>61673.40000000002</v>
      </c>
    </row>
    <row r="9" spans="1:9" ht="25.5">
      <c r="A9" s="53" t="s">
        <v>5</v>
      </c>
      <c r="B9" s="87">
        <v>7950.3</v>
      </c>
      <c r="C9" s="87">
        <v>6704</v>
      </c>
      <c r="D9" s="87">
        <v>8584.3</v>
      </c>
      <c r="E9" s="86">
        <f t="shared" si="0"/>
        <v>107.97454184118837</v>
      </c>
      <c r="F9" s="86">
        <v>200.86</v>
      </c>
      <c r="G9" s="87">
        <v>9577.07</v>
      </c>
      <c r="H9" s="86">
        <f t="shared" si="1"/>
        <v>89.63388593797477</v>
      </c>
      <c r="I9" s="30">
        <f>D9-сентябрь!D9</f>
        <v>3087.0999999999995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320249.5</v>
      </c>
      <c r="D10" s="92">
        <f>SUM(D11:D15)</f>
        <v>320570.4</v>
      </c>
      <c r="E10" s="86">
        <f t="shared" si="0"/>
        <v>86.00338679664412</v>
      </c>
      <c r="F10" s="86">
        <v>10444.529999999999</v>
      </c>
      <c r="G10" s="92">
        <f>SUM(G11:G15)</f>
        <v>246966.75000000003</v>
      </c>
      <c r="H10" s="86">
        <f t="shared" si="1"/>
        <v>129.80306053345237</v>
      </c>
      <c r="I10" s="30">
        <f>D10-сентябрь!D10</f>
        <v>58586.30000000002</v>
      </c>
    </row>
    <row r="11" spans="1:9" ht="51">
      <c r="A11" s="56" t="s">
        <v>74</v>
      </c>
      <c r="B11" s="85">
        <v>313856.6</v>
      </c>
      <c r="C11" s="85">
        <v>261744.2</v>
      </c>
      <c r="D11" s="85">
        <v>259142.6</v>
      </c>
      <c r="E11" s="86">
        <f t="shared" si="0"/>
        <v>82.56719788591352</v>
      </c>
      <c r="F11" s="86">
        <v>10058</v>
      </c>
      <c r="G11" s="85">
        <v>232829.92</v>
      </c>
      <c r="H11" s="48">
        <f t="shared" si="1"/>
        <v>111.30124513206894</v>
      </c>
      <c r="I11" s="30">
        <f>D11-сентябрь!D11</f>
        <v>56228.600000000006</v>
      </c>
    </row>
    <row r="12" spans="1:9" ht="94.5" customHeight="1">
      <c r="A12" s="56" t="s">
        <v>75</v>
      </c>
      <c r="B12" s="85">
        <v>6481.5</v>
      </c>
      <c r="C12" s="85">
        <v>6460</v>
      </c>
      <c r="D12" s="85">
        <v>1189.1</v>
      </c>
      <c r="E12" s="86">
        <f t="shared" si="0"/>
        <v>18.34606186839466</v>
      </c>
      <c r="F12" s="86">
        <v>81.56</v>
      </c>
      <c r="G12" s="85">
        <v>6499.32</v>
      </c>
      <c r="H12" s="48">
        <f t="shared" si="1"/>
        <v>18.29576017183336</v>
      </c>
      <c r="I12" s="30">
        <f>D12-сентябрь!D12</f>
        <v>619.4999999999999</v>
      </c>
    </row>
    <row r="13" spans="1:9" ht="25.5">
      <c r="A13" s="56" t="s">
        <v>76</v>
      </c>
      <c r="B13" s="85">
        <v>3576.4</v>
      </c>
      <c r="C13" s="85">
        <v>3465</v>
      </c>
      <c r="D13" s="85">
        <v>4846.8</v>
      </c>
      <c r="E13" s="86">
        <f t="shared" si="0"/>
        <v>135.5217537188234</v>
      </c>
      <c r="F13" s="86">
        <v>117.15</v>
      </c>
      <c r="G13" s="85">
        <v>3464.95</v>
      </c>
      <c r="H13" s="48">
        <f t="shared" si="1"/>
        <v>139.88080636084217</v>
      </c>
      <c r="I13" s="30">
        <f>D13-сентябрь!D13</f>
        <v>430.3000000000002</v>
      </c>
    </row>
    <row r="14" spans="1:9" ht="63.75">
      <c r="A14" s="56" t="s">
        <v>78</v>
      </c>
      <c r="B14" s="85">
        <v>2580.1</v>
      </c>
      <c r="C14" s="85">
        <v>2333.3</v>
      </c>
      <c r="D14" s="85">
        <v>3465</v>
      </c>
      <c r="E14" s="86">
        <f t="shared" si="0"/>
        <v>134.29712026665635</v>
      </c>
      <c r="F14" s="86">
        <v>187.82</v>
      </c>
      <c r="G14" s="85">
        <v>2335.55</v>
      </c>
      <c r="H14" s="48">
        <f t="shared" si="1"/>
        <v>148.35905889405063</v>
      </c>
      <c r="I14" s="30">
        <f>D14-сентябрь!D14</f>
        <v>564.0999999999999</v>
      </c>
    </row>
    <row r="15" spans="1:9" ht="37.5" customHeight="1">
      <c r="A15" s="56" t="s">
        <v>145</v>
      </c>
      <c r="B15" s="82">
        <v>46247</v>
      </c>
      <c r="C15" s="82">
        <v>46247</v>
      </c>
      <c r="D15" s="82">
        <v>51926.9</v>
      </c>
      <c r="E15" s="86">
        <f t="shared" si="0"/>
        <v>112.28166151317924</v>
      </c>
      <c r="F15" s="86"/>
      <c r="G15" s="85">
        <v>1837.01</v>
      </c>
      <c r="H15" s="48">
        <f t="shared" si="1"/>
        <v>2826.707530171311</v>
      </c>
      <c r="I15" s="30">
        <f>D15-сентябрь!D15</f>
        <v>743.8000000000029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50584.1</v>
      </c>
      <c r="D16" s="87">
        <f>SUM(D17:D20)+0.1</f>
        <v>58869.799999999996</v>
      </c>
      <c r="E16" s="86">
        <f t="shared" si="0"/>
        <v>105.90379218536374</v>
      </c>
      <c r="F16" s="86">
        <v>1853.18</v>
      </c>
      <c r="G16" s="30">
        <f>G17+G18+G19+G20</f>
        <v>22384.100000000002</v>
      </c>
      <c r="H16" s="86">
        <f t="shared" si="1"/>
        <v>262.99828896404136</v>
      </c>
      <c r="I16" s="30">
        <f>D16-сентябрь!D16</f>
        <v>11051.699999999997</v>
      </c>
    </row>
    <row r="17" spans="1:9" ht="37.5" customHeight="1">
      <c r="A17" s="39" t="s">
        <v>83</v>
      </c>
      <c r="B17" s="82">
        <v>25133.1</v>
      </c>
      <c r="C17" s="82">
        <v>22779.4</v>
      </c>
      <c r="D17" s="82">
        <v>29415.1</v>
      </c>
      <c r="E17" s="86">
        <f t="shared" si="0"/>
        <v>117.03729344967392</v>
      </c>
      <c r="F17" s="86">
        <v>844.23</v>
      </c>
      <c r="G17" s="85">
        <v>10259.92</v>
      </c>
      <c r="H17" s="48">
        <f t="shared" si="1"/>
        <v>286.6991165623124</v>
      </c>
      <c r="I17" s="30">
        <f>D17-сентябрь!D17</f>
        <v>6034.399999999998</v>
      </c>
    </row>
    <row r="18" spans="1:9" ht="56.25" customHeight="1">
      <c r="A18" s="39" t="s">
        <v>84</v>
      </c>
      <c r="B18" s="82">
        <v>139.1</v>
      </c>
      <c r="C18" s="82">
        <v>128.5</v>
      </c>
      <c r="D18" s="82">
        <v>162.7</v>
      </c>
      <c r="E18" s="86">
        <f t="shared" si="0"/>
        <v>116.96621135873472</v>
      </c>
      <c r="F18" s="86">
        <v>5.74</v>
      </c>
      <c r="G18" s="85">
        <v>72.78</v>
      </c>
      <c r="H18" s="48">
        <f t="shared" si="1"/>
        <v>223.55042594119263</v>
      </c>
      <c r="I18" s="30">
        <f>D18-сентябрь!D18</f>
        <v>30.399999999999977</v>
      </c>
    </row>
    <row r="19" spans="1:9" ht="55.5" customHeight="1">
      <c r="A19" s="39" t="s">
        <v>85</v>
      </c>
      <c r="B19" s="82">
        <v>33467.4</v>
      </c>
      <c r="C19" s="82">
        <v>30590.6</v>
      </c>
      <c r="D19" s="82">
        <v>32741.8</v>
      </c>
      <c r="E19" s="86">
        <f t="shared" si="0"/>
        <v>97.83192001768884</v>
      </c>
      <c r="F19" s="86">
        <v>1158.41</v>
      </c>
      <c r="G19" s="85">
        <v>13789.79</v>
      </c>
      <c r="H19" s="48">
        <f t="shared" si="1"/>
        <v>237.4350878439773</v>
      </c>
      <c r="I19" s="30">
        <f>D19-сентябрь!D19</f>
        <v>5826.700000000001</v>
      </c>
    </row>
    <row r="20" spans="1:9" ht="15.75" customHeight="1">
      <c r="A20" s="39" t="s">
        <v>86</v>
      </c>
      <c r="B20" s="82">
        <v>-3151.6</v>
      </c>
      <c r="C20" s="82">
        <v>-2914.4</v>
      </c>
      <c r="D20" s="82">
        <v>-3449.9</v>
      </c>
      <c r="E20" s="86">
        <f t="shared" si="0"/>
        <v>109.46503363370988</v>
      </c>
      <c r="F20" s="86">
        <v>-155.2</v>
      </c>
      <c r="G20" s="85">
        <v>-1738.39</v>
      </c>
      <c r="H20" s="48">
        <f t="shared" si="1"/>
        <v>198.45374168052047</v>
      </c>
      <c r="I20" s="30">
        <f>D20-сентябрь!D20</f>
        <v>-839.9000000000001</v>
      </c>
    </row>
    <row r="21" spans="1:9" s="93" customFormat="1" ht="12.75">
      <c r="A21" s="59" t="s">
        <v>7</v>
      </c>
      <c r="B21" s="87">
        <f>SUM(B22:B25)</f>
        <v>133324.5</v>
      </c>
      <c r="C21" s="87">
        <f>SUM(C22:C25)</f>
        <v>124889.9</v>
      </c>
      <c r="D21" s="87">
        <f>SUM(D22:D25)</f>
        <v>129071.6</v>
      </c>
      <c r="E21" s="86">
        <f t="shared" si="0"/>
        <v>96.81011367003065</v>
      </c>
      <c r="F21" s="86">
        <v>7362.96</v>
      </c>
      <c r="G21" s="30">
        <f>G22+G24+G25+G23</f>
        <v>117991.72</v>
      </c>
      <c r="H21" s="86">
        <f t="shared" si="1"/>
        <v>109.39038773229173</v>
      </c>
      <c r="I21" s="30">
        <f>D21-сентябрь!D21</f>
        <v>30523.5</v>
      </c>
    </row>
    <row r="22" spans="1:9" ht="28.5" customHeight="1">
      <c r="A22" s="56" t="s">
        <v>146</v>
      </c>
      <c r="B22" s="85">
        <v>110640.7</v>
      </c>
      <c r="C22" s="85">
        <v>103920</v>
      </c>
      <c r="D22" s="85">
        <v>106978.8</v>
      </c>
      <c r="E22" s="86">
        <f t="shared" si="0"/>
        <v>96.69027762839534</v>
      </c>
      <c r="F22" s="86"/>
      <c r="G22" s="85">
        <v>90583.66</v>
      </c>
      <c r="H22" s="48">
        <f t="shared" si="1"/>
        <v>118.09944530834811</v>
      </c>
      <c r="I22" s="30">
        <f>D22-сентябрь!D22</f>
        <v>27318.5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205.3</v>
      </c>
      <c r="E23" s="86">
        <v>0</v>
      </c>
      <c r="F23" s="86">
        <v>7198.75</v>
      </c>
      <c r="G23" s="85">
        <v>7397.2</v>
      </c>
      <c r="H23" s="48">
        <f t="shared" si="1"/>
        <v>2.775374466014168</v>
      </c>
      <c r="I23" s="30">
        <f>D23-сентябрь!D23</f>
        <v>20.100000000000023</v>
      </c>
    </row>
    <row r="24" spans="1:9" ht="15" customHeight="1">
      <c r="A24" s="56" t="s">
        <v>87</v>
      </c>
      <c r="B24" s="82">
        <v>353</v>
      </c>
      <c r="C24" s="82">
        <v>353</v>
      </c>
      <c r="D24" s="82">
        <v>297</v>
      </c>
      <c r="E24" s="86">
        <f aca="true" t="shared" si="2" ref="E24:E47">$D:$D/$B:$B*100</f>
        <v>84.13597733711048</v>
      </c>
      <c r="F24" s="86">
        <v>113.58</v>
      </c>
      <c r="G24" s="85">
        <v>1303.09</v>
      </c>
      <c r="H24" s="48">
        <f t="shared" si="1"/>
        <v>22.791979065145156</v>
      </c>
      <c r="I24" s="30">
        <f>D24-сентябрь!D24</f>
        <v>0</v>
      </c>
    </row>
    <row r="25" spans="1:9" ht="27" customHeight="1">
      <c r="A25" s="56" t="s">
        <v>88</v>
      </c>
      <c r="B25" s="85">
        <v>22330.8</v>
      </c>
      <c r="C25" s="85">
        <v>20616.9</v>
      </c>
      <c r="D25" s="85">
        <v>21590.5</v>
      </c>
      <c r="E25" s="86">
        <f t="shared" si="2"/>
        <v>96.68484783348559</v>
      </c>
      <c r="F25" s="86">
        <v>50.63</v>
      </c>
      <c r="G25" s="85">
        <v>18707.77</v>
      </c>
      <c r="H25" s="48">
        <f t="shared" si="1"/>
        <v>115.40926577566432</v>
      </c>
      <c r="I25" s="30">
        <f>D25-сентябрь!D25</f>
        <v>3184.9000000000015</v>
      </c>
    </row>
    <row r="26" spans="1:9" ht="12.75">
      <c r="A26" s="59" t="s">
        <v>8</v>
      </c>
      <c r="B26" s="87">
        <f>SUM(B27:B28)</f>
        <v>42549</v>
      </c>
      <c r="C26" s="87">
        <f>SUM(C27:C28)</f>
        <v>34419</v>
      </c>
      <c r="D26" s="87">
        <f>SUM(D27:D28)+0.1</f>
        <v>34216.2</v>
      </c>
      <c r="E26" s="86">
        <f t="shared" si="2"/>
        <v>80.41599097511104</v>
      </c>
      <c r="F26" s="86">
        <v>2465.82</v>
      </c>
      <c r="G26" s="30">
        <f>SUM(G27:G28)</f>
        <v>31156.620000000003</v>
      </c>
      <c r="H26" s="86">
        <f t="shared" si="1"/>
        <v>109.81999973039436</v>
      </c>
      <c r="I26" s="30">
        <f>D26-сентябрь!D26</f>
        <v>19665.399999999998</v>
      </c>
    </row>
    <row r="27" spans="1:9" ht="12.75">
      <c r="A27" s="56" t="s">
        <v>106</v>
      </c>
      <c r="B27" s="82">
        <v>25216.9</v>
      </c>
      <c r="C27" s="82">
        <v>19508.9</v>
      </c>
      <c r="D27" s="82">
        <v>18941.5</v>
      </c>
      <c r="E27" s="86">
        <f t="shared" si="2"/>
        <v>75.11430826152302</v>
      </c>
      <c r="F27" s="86">
        <v>536.1</v>
      </c>
      <c r="G27" s="85">
        <v>16481.7</v>
      </c>
      <c r="H27" s="48">
        <f t="shared" si="1"/>
        <v>114.92443133900021</v>
      </c>
      <c r="I27" s="30">
        <f>D27-сентябрь!D27</f>
        <v>12993</v>
      </c>
    </row>
    <row r="28" spans="1:9" ht="12.75">
      <c r="A28" s="56" t="s">
        <v>107</v>
      </c>
      <c r="B28" s="85">
        <v>17332.1</v>
      </c>
      <c r="C28" s="85">
        <v>14910.1</v>
      </c>
      <c r="D28" s="85">
        <v>15274.6</v>
      </c>
      <c r="E28" s="86">
        <f t="shared" si="2"/>
        <v>88.12896302236891</v>
      </c>
      <c r="F28" s="86">
        <v>1929.72</v>
      </c>
      <c r="G28" s="85">
        <v>14674.92</v>
      </c>
      <c r="H28" s="48">
        <f t="shared" si="1"/>
        <v>104.08642772839647</v>
      </c>
      <c r="I28" s="30">
        <f>D28-сентябрь!D28</f>
        <v>6672.300000000001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14905.8</v>
      </c>
      <c r="D29" s="87">
        <f>SUM(D30:D32)</f>
        <v>16408.9</v>
      </c>
      <c r="E29" s="86">
        <f t="shared" si="2"/>
        <v>101.88382850578996</v>
      </c>
      <c r="F29" s="86">
        <v>793.07</v>
      </c>
      <c r="G29" s="30">
        <f>G30+G32+G31</f>
        <v>13999.55</v>
      </c>
      <c r="H29" s="86">
        <f t="shared" si="1"/>
        <v>117.21019604201565</v>
      </c>
      <c r="I29" s="30">
        <f>D29-сентябрь!D29</f>
        <v>3790.4000000000015</v>
      </c>
    </row>
    <row r="30" spans="1:9" ht="25.5">
      <c r="A30" s="56" t="s">
        <v>10</v>
      </c>
      <c r="B30" s="85">
        <v>15988.3</v>
      </c>
      <c r="C30" s="85">
        <v>14800</v>
      </c>
      <c r="D30" s="85">
        <v>16276.5</v>
      </c>
      <c r="E30" s="86">
        <f t="shared" si="2"/>
        <v>101.80256812794357</v>
      </c>
      <c r="F30" s="86">
        <v>793.07</v>
      </c>
      <c r="G30" s="85">
        <v>13840.75</v>
      </c>
      <c r="H30" s="48">
        <f t="shared" si="1"/>
        <v>117.59839604067699</v>
      </c>
      <c r="I30" s="30">
        <f>D30-сентябрь!D30</f>
        <v>3764.2000000000007</v>
      </c>
    </row>
    <row r="31" spans="1:9" ht="25.5">
      <c r="A31" s="56" t="s">
        <v>91</v>
      </c>
      <c r="B31" s="81">
        <v>67.2</v>
      </c>
      <c r="C31" s="81">
        <v>60.8</v>
      </c>
      <c r="D31" s="81">
        <v>62.4</v>
      </c>
      <c r="E31" s="86">
        <f t="shared" si="2"/>
        <v>92.85714285714285</v>
      </c>
      <c r="F31" s="86">
        <v>0</v>
      </c>
      <c r="G31" s="85">
        <v>90</v>
      </c>
      <c r="H31" s="48">
        <f t="shared" si="1"/>
        <v>69.33333333333334</v>
      </c>
      <c r="I31" s="30">
        <f>D31-сентябрь!D31</f>
        <v>11.199999999999996</v>
      </c>
    </row>
    <row r="32" spans="1:9" ht="25.5">
      <c r="A32" s="56" t="s">
        <v>90</v>
      </c>
      <c r="B32" s="81">
        <v>50</v>
      </c>
      <c r="C32" s="81">
        <v>45</v>
      </c>
      <c r="D32" s="81">
        <v>70</v>
      </c>
      <c r="E32" s="86">
        <f t="shared" si="2"/>
        <v>140</v>
      </c>
      <c r="F32" s="86">
        <v>0</v>
      </c>
      <c r="G32" s="85">
        <v>68.8</v>
      </c>
      <c r="H32" s="48">
        <f t="shared" si="1"/>
        <v>101.74418604651163</v>
      </c>
      <c r="I32" s="30">
        <f>D32-сентябрь!D32</f>
        <v>15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 t="shared" si="2"/>
        <v>#DIV/0!</v>
      </c>
      <c r="F33" s="86">
        <v>0</v>
      </c>
      <c r="G33" s="30">
        <f>G34+G35</f>
        <v>16.69</v>
      </c>
      <c r="H33" s="48">
        <f t="shared" si="1"/>
        <v>0.11983223487118035</v>
      </c>
      <c r="I33" s="30">
        <f>D33-сентябрь!D33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 t="shared" si="2"/>
        <v>#DIV/0!</v>
      </c>
      <c r="F34" s="86">
        <v>0</v>
      </c>
      <c r="G34" s="85">
        <v>14.8</v>
      </c>
      <c r="H34" s="48">
        <f t="shared" si="1"/>
        <v>0.13513513513513511</v>
      </c>
      <c r="I34" s="30">
        <f>D34-сентябрь!D34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 t="shared" si="2"/>
        <v>#DIV/0!</v>
      </c>
      <c r="F35" s="86">
        <v>0</v>
      </c>
      <c r="G35" s="85">
        <v>1.89</v>
      </c>
      <c r="H35" s="48">
        <f t="shared" si="1"/>
        <v>0</v>
      </c>
      <c r="I35" s="30">
        <f>D35-сентябрь!D35</f>
        <v>0</v>
      </c>
    </row>
    <row r="36" spans="1:9" ht="39.75" customHeight="1">
      <c r="A36" s="59" t="s">
        <v>12</v>
      </c>
      <c r="B36" s="87">
        <f>SUM(B38:B44)</f>
        <v>57911.299999999996</v>
      </c>
      <c r="C36" s="87">
        <f>SUM(C38:C44)</f>
        <v>49036.700000000004</v>
      </c>
      <c r="D36" s="87">
        <f>SUM(D38:D44)</f>
        <v>47222.1</v>
      </c>
      <c r="E36" s="86">
        <f t="shared" si="2"/>
        <v>81.54211699616482</v>
      </c>
      <c r="F36" s="86">
        <v>3247.05</v>
      </c>
      <c r="G36" s="30">
        <f>G37+G39+G40+G41+G43+G44+G38+G42</f>
        <v>60343.5</v>
      </c>
      <c r="H36" s="86">
        <f t="shared" si="1"/>
        <v>78.25548733500707</v>
      </c>
      <c r="I36" s="30">
        <f>D36-сентябрь!D36</f>
        <v>8653.900000000001</v>
      </c>
    </row>
    <row r="37" spans="1:9" ht="81.75" customHeight="1" hidden="1">
      <c r="A37" s="56" t="s">
        <v>114</v>
      </c>
      <c r="B37" s="85"/>
      <c r="C37" s="85"/>
      <c r="D37" s="85"/>
      <c r="E37" s="86" t="e">
        <f t="shared" si="2"/>
        <v>#DIV/0!</v>
      </c>
      <c r="F37" s="86"/>
      <c r="G37" s="106"/>
      <c r="H37" s="48" t="e">
        <f t="shared" si="1"/>
        <v>#DIV/0!</v>
      </c>
      <c r="I37" s="30">
        <f>D37-сентябрь!D37</f>
        <v>0</v>
      </c>
    </row>
    <row r="38" spans="1:9" ht="76.5">
      <c r="A38" s="56" t="s">
        <v>117</v>
      </c>
      <c r="B38" s="85">
        <v>30000</v>
      </c>
      <c r="C38" s="85">
        <v>26797.1</v>
      </c>
      <c r="D38" s="85">
        <v>25271.8</v>
      </c>
      <c r="E38" s="86">
        <f t="shared" si="2"/>
        <v>84.23933333333333</v>
      </c>
      <c r="F38" s="86">
        <v>2393.3</v>
      </c>
      <c r="G38" s="85">
        <v>38472.32</v>
      </c>
      <c r="H38" s="48">
        <f t="shared" si="1"/>
        <v>65.68826626520054</v>
      </c>
      <c r="I38" s="30">
        <f>D38-сентябрь!D38</f>
        <v>3598.899999999998</v>
      </c>
    </row>
    <row r="39" spans="1:9" ht="76.5">
      <c r="A39" s="56" t="s">
        <v>125</v>
      </c>
      <c r="B39" s="82">
        <v>7265</v>
      </c>
      <c r="C39" s="82">
        <v>3231.7</v>
      </c>
      <c r="D39" s="82">
        <v>5120</v>
      </c>
      <c r="E39" s="86">
        <f t="shared" si="2"/>
        <v>70.474879559532</v>
      </c>
      <c r="F39" s="86">
        <v>75.44</v>
      </c>
      <c r="G39" s="85">
        <v>1093.85</v>
      </c>
      <c r="H39" s="48">
        <f t="shared" si="1"/>
        <v>468.0714906065732</v>
      </c>
      <c r="I39" s="30">
        <f>D39-сентябрь!D39</f>
        <v>2147.2</v>
      </c>
    </row>
    <row r="40" spans="1:9" ht="76.5">
      <c r="A40" s="56" t="s">
        <v>118</v>
      </c>
      <c r="B40" s="82">
        <v>421</v>
      </c>
      <c r="C40" s="82">
        <v>385.5</v>
      </c>
      <c r="D40" s="82">
        <v>437.4</v>
      </c>
      <c r="E40" s="86">
        <f t="shared" si="2"/>
        <v>103.89548693586698</v>
      </c>
      <c r="F40" s="86">
        <v>3.43</v>
      </c>
      <c r="G40" s="85">
        <v>395.56</v>
      </c>
      <c r="H40" s="48">
        <f t="shared" si="1"/>
        <v>110.57740924259278</v>
      </c>
      <c r="I40" s="30">
        <f>D40-сентябрь!D40</f>
        <v>73</v>
      </c>
    </row>
    <row r="41" spans="1:9" ht="38.25">
      <c r="A41" s="56" t="s">
        <v>119</v>
      </c>
      <c r="B41" s="82">
        <v>13345.3</v>
      </c>
      <c r="C41" s="82">
        <v>12071.1</v>
      </c>
      <c r="D41" s="82">
        <v>12848.3</v>
      </c>
      <c r="E41" s="86">
        <f t="shared" si="2"/>
        <v>96.2758424314178</v>
      </c>
      <c r="F41" s="86">
        <v>538.73</v>
      </c>
      <c r="G41" s="85">
        <v>13188.48</v>
      </c>
      <c r="H41" s="48">
        <f t="shared" si="1"/>
        <v>97.42062769932546</v>
      </c>
      <c r="I41" s="30">
        <f>D41-сентябрь!D41</f>
        <v>2230.8999999999996</v>
      </c>
    </row>
    <row r="42" spans="1:9" ht="51">
      <c r="A42" s="56" t="s">
        <v>147</v>
      </c>
      <c r="B42" s="82">
        <v>64.2</v>
      </c>
      <c r="C42" s="82">
        <v>59.4</v>
      </c>
      <c r="D42" s="82">
        <v>60.8</v>
      </c>
      <c r="E42" s="86">
        <f t="shared" si="2"/>
        <v>94.70404984423675</v>
      </c>
      <c r="F42" s="86"/>
      <c r="G42" s="85">
        <v>77.53</v>
      </c>
      <c r="H42" s="48">
        <f t="shared" si="1"/>
        <v>78.42125628788855</v>
      </c>
      <c r="I42" s="30">
        <f>D42-сентябрь!D42</f>
        <v>0.29999999999999716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 t="shared" si="2"/>
        <v>17.458692791343765</v>
      </c>
      <c r="F43" s="86">
        <v>0</v>
      </c>
      <c r="G43" s="85">
        <v>2879.95</v>
      </c>
      <c r="H43" s="48">
        <f t="shared" si="1"/>
        <v>16.583621243424368</v>
      </c>
      <c r="I43" s="30">
        <f>D43-сентябрь!D43</f>
        <v>0</v>
      </c>
    </row>
    <row r="44" spans="1:9" ht="76.5">
      <c r="A44" s="60" t="s">
        <v>121</v>
      </c>
      <c r="B44" s="82">
        <v>4080.2</v>
      </c>
      <c r="C44" s="82">
        <v>3756.3</v>
      </c>
      <c r="D44" s="82">
        <v>3006.2</v>
      </c>
      <c r="E44" s="86">
        <f t="shared" si="2"/>
        <v>73.67776089407381</v>
      </c>
      <c r="F44" s="86">
        <v>236.15</v>
      </c>
      <c r="G44" s="85">
        <v>4235.81</v>
      </c>
      <c r="H44" s="48">
        <f t="shared" si="1"/>
        <v>70.97107755069277</v>
      </c>
      <c r="I44" s="30">
        <f>D44-сентябрь!D44</f>
        <v>603.5999999999999</v>
      </c>
    </row>
    <row r="45" spans="1:9" ht="27" customHeight="1">
      <c r="A45" s="53" t="s">
        <v>13</v>
      </c>
      <c r="B45" s="87">
        <v>766.9</v>
      </c>
      <c r="C45" s="87">
        <v>754.6</v>
      </c>
      <c r="D45" s="87">
        <v>635.7</v>
      </c>
      <c r="E45" s="86">
        <f t="shared" si="2"/>
        <v>82.89216325466164</v>
      </c>
      <c r="F45" s="86">
        <v>43.6</v>
      </c>
      <c r="G45" s="87">
        <v>506.34</v>
      </c>
      <c r="H45" s="86">
        <f t="shared" si="1"/>
        <v>125.5480507169096</v>
      </c>
      <c r="I45" s="30">
        <f>D45-сентябрь!D45</f>
        <v>74.40000000000009</v>
      </c>
    </row>
    <row r="46" spans="1:9" ht="25.5">
      <c r="A46" s="53" t="s">
        <v>96</v>
      </c>
      <c r="B46" s="87">
        <v>10429.1</v>
      </c>
      <c r="C46" s="87">
        <v>10117.5</v>
      </c>
      <c r="D46" s="87">
        <v>10255.3</v>
      </c>
      <c r="E46" s="86">
        <f t="shared" si="2"/>
        <v>98.33350912351017</v>
      </c>
      <c r="F46" s="86">
        <v>561.58</v>
      </c>
      <c r="G46" s="87">
        <v>2125.86</v>
      </c>
      <c r="H46" s="86">
        <f t="shared" si="1"/>
        <v>482.40711994204696</v>
      </c>
      <c r="I46" s="30">
        <f>D46-сентябрь!D46</f>
        <v>326.6999999999989</v>
      </c>
    </row>
    <row r="47" spans="1:9" ht="25.5">
      <c r="A47" s="59" t="s">
        <v>14</v>
      </c>
      <c r="B47" s="87">
        <f>SUM(B48:B50)</f>
        <v>4763.6</v>
      </c>
      <c r="C47" s="87">
        <f>SUM(C48:C50)</f>
        <v>3545</v>
      </c>
      <c r="D47" s="87">
        <f>SUM(D48:D50)</f>
        <v>2896.4</v>
      </c>
      <c r="E47" s="86">
        <f t="shared" si="2"/>
        <v>60.80275421949786</v>
      </c>
      <c r="F47" s="86">
        <v>585.5</v>
      </c>
      <c r="G47" s="30">
        <v>5354.35</v>
      </c>
      <c r="H47" s="86">
        <f t="shared" si="1"/>
        <v>54.09433451305947</v>
      </c>
      <c r="I47" s="30">
        <f>D47-сентябрь!D47</f>
        <v>393.4000000000001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 t="shared" si="1"/>
        <v>0</v>
      </c>
      <c r="I48" s="30">
        <f>D48-сентябрь!D48</f>
        <v>0</v>
      </c>
    </row>
    <row r="49" spans="1:9" ht="76.5">
      <c r="A49" s="56" t="s">
        <v>95</v>
      </c>
      <c r="B49" s="85">
        <v>863.6</v>
      </c>
      <c r="C49" s="85">
        <v>0</v>
      </c>
      <c r="D49" s="85">
        <v>0</v>
      </c>
      <c r="E49" s="86">
        <v>0</v>
      </c>
      <c r="F49" s="86">
        <v>37.14</v>
      </c>
      <c r="G49" s="85">
        <v>1497.24</v>
      </c>
      <c r="H49" s="48">
        <v>0</v>
      </c>
      <c r="I49" s="30">
        <f>D49-сентябрь!D49</f>
        <v>0</v>
      </c>
    </row>
    <row r="50" spans="1:9" ht="14.25" customHeight="1">
      <c r="A50" s="60" t="s">
        <v>93</v>
      </c>
      <c r="B50" s="83">
        <v>3900</v>
      </c>
      <c r="C50" s="83">
        <v>3545</v>
      </c>
      <c r="D50" s="83">
        <v>2896.4</v>
      </c>
      <c r="E50" s="86">
        <f aca="true" t="shared" si="3" ref="E50:E72">$D:$D/$B:$B*100</f>
        <v>74.26666666666667</v>
      </c>
      <c r="F50" s="86">
        <v>548.36</v>
      </c>
      <c r="G50" s="85">
        <v>3804.4</v>
      </c>
      <c r="H50" s="48">
        <f aca="true" t="shared" si="4" ref="H50:H69">$D:$D/$G:$G*100</f>
        <v>76.13289874881715</v>
      </c>
      <c r="I50" s="30">
        <f>D50-сентябрь!D50</f>
        <v>393.4000000000001</v>
      </c>
    </row>
    <row r="51" spans="1:9" ht="12.75">
      <c r="A51" s="53" t="s">
        <v>15</v>
      </c>
      <c r="B51" s="85">
        <v>5222.7</v>
      </c>
      <c r="C51" s="85">
        <v>2916.5</v>
      </c>
      <c r="D51" s="85">
        <v>5709.3</v>
      </c>
      <c r="E51" s="86">
        <f t="shared" si="3"/>
        <v>109.31701993221898</v>
      </c>
      <c r="F51" s="86">
        <v>179.73</v>
      </c>
      <c r="G51" s="30">
        <v>8443.3</v>
      </c>
      <c r="H51" s="86">
        <f t="shared" si="4"/>
        <v>67.61929577297977</v>
      </c>
      <c r="I51" s="30">
        <f>D51-сентябрь!D51</f>
        <v>835.3000000000002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 t="shared" si="3"/>
        <v>0</v>
      </c>
      <c r="F52" s="86"/>
      <c r="G52" s="106"/>
      <c r="H52" s="48" t="e">
        <f t="shared" si="4"/>
        <v>#DIV/0!</v>
      </c>
      <c r="I52" s="30">
        <f>D52-сентябрь!D52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 t="shared" si="3"/>
        <v>0</v>
      </c>
      <c r="F53" s="86"/>
      <c r="G53" s="106"/>
      <c r="H53" s="48" t="e">
        <f t="shared" si="4"/>
        <v>#DIV/0!</v>
      </c>
      <c r="I53" s="30">
        <f>D53-сентябрь!D53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 t="shared" si="3"/>
        <v>0</v>
      </c>
      <c r="F54" s="86"/>
      <c r="G54" s="106"/>
      <c r="H54" s="48" t="e">
        <f t="shared" si="4"/>
        <v>#DIV/0!</v>
      </c>
      <c r="I54" s="30">
        <f>D54-сентябрь!D54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 t="shared" si="3"/>
        <v>0</v>
      </c>
      <c r="F55" s="86"/>
      <c r="G55" s="106"/>
      <c r="H55" s="48" t="e">
        <f t="shared" si="4"/>
        <v>#DIV/0!</v>
      </c>
      <c r="I55" s="30">
        <f>D55-сентябрь!D55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 t="shared" si="3"/>
        <v>0</v>
      </c>
      <c r="F56" s="86"/>
      <c r="G56" s="106"/>
      <c r="H56" s="48" t="e">
        <f t="shared" si="4"/>
        <v>#DIV/0!</v>
      </c>
      <c r="I56" s="30">
        <f>D56-сентябрь!D56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 t="shared" si="3"/>
        <v>0</v>
      </c>
      <c r="F57" s="86"/>
      <c r="G57" s="106"/>
      <c r="H57" s="48" t="e">
        <f t="shared" si="4"/>
        <v>#DIV/0!</v>
      </c>
      <c r="I57" s="30">
        <f>D57-сентябрь!D57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 t="shared" si="3"/>
        <v>0</v>
      </c>
      <c r="F58" s="86"/>
      <c r="G58" s="106"/>
      <c r="H58" s="48" t="e">
        <f t="shared" si="4"/>
        <v>#DIV/0!</v>
      </c>
      <c r="I58" s="30">
        <f>D58-сентябрь!D58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 t="shared" si="3"/>
        <v>0</v>
      </c>
      <c r="F59" s="86"/>
      <c r="G59" s="106"/>
      <c r="H59" s="48" t="e">
        <f t="shared" si="4"/>
        <v>#DIV/0!</v>
      </c>
      <c r="I59" s="30">
        <f>D59-сентябрь!D59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 t="shared" si="3"/>
        <v>0</v>
      </c>
      <c r="F60" s="86"/>
      <c r="G60" s="106"/>
      <c r="H60" s="48" t="e">
        <f t="shared" si="4"/>
        <v>#DIV/0!</v>
      </c>
      <c r="I60" s="30">
        <f>D60-сентябрь!D60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 t="shared" si="3"/>
        <v>0</v>
      </c>
      <c r="F61" s="86"/>
      <c r="G61" s="85">
        <v>3804.42</v>
      </c>
      <c r="H61" s="48">
        <f t="shared" si="4"/>
        <v>0</v>
      </c>
      <c r="I61" s="30">
        <f>D61-сентябрь!D61</f>
        <v>0</v>
      </c>
    </row>
    <row r="62" spans="1:9" ht="12.75">
      <c r="A62" s="52" t="s">
        <v>16</v>
      </c>
      <c r="B62" s="81">
        <v>69.6</v>
      </c>
      <c r="C62" s="81">
        <v>65.8</v>
      </c>
      <c r="D62" s="98">
        <v>133.2</v>
      </c>
      <c r="E62" s="86">
        <f t="shared" si="3"/>
        <v>191.3793103448276</v>
      </c>
      <c r="F62" s="86">
        <v>-38.79</v>
      </c>
      <c r="G62" s="30">
        <v>177.9</v>
      </c>
      <c r="H62" s="86">
        <f t="shared" si="4"/>
        <v>74.87352445193929</v>
      </c>
      <c r="I62" s="30">
        <f>D62-сентябрь!D62</f>
        <v>106.49999999999999</v>
      </c>
    </row>
    <row r="63" spans="1:9" ht="12.75">
      <c r="A63" s="59" t="s">
        <v>17</v>
      </c>
      <c r="B63" s="87">
        <f>B62+B51+B47+B46+B45+B36+B29+B26+B21+B16+B8</f>
        <v>707422.1</v>
      </c>
      <c r="C63" s="87">
        <f>C62+C51+C47+C46+C45+C36+C29+C26+C21+C16+C8</f>
        <v>618188.3999999999</v>
      </c>
      <c r="D63" s="87">
        <f>D62+D51+D47+D46+D45+D36+D29+D26+D21+D16+D8</f>
        <v>634573.1000000001</v>
      </c>
      <c r="E63" s="86">
        <f t="shared" si="3"/>
        <v>89.70218770377687</v>
      </c>
      <c r="F63" s="86">
        <v>27699.089999999997</v>
      </c>
      <c r="G63" s="87">
        <v>519043.7</v>
      </c>
      <c r="H63" s="86">
        <f t="shared" si="4"/>
        <v>122.25812585722554</v>
      </c>
      <c r="I63" s="30">
        <f>D63-сентябрь!D63</f>
        <v>137094.6000000001</v>
      </c>
    </row>
    <row r="64" spans="1:9" ht="12.75">
      <c r="A64" s="59" t="s">
        <v>18</v>
      </c>
      <c r="B64" s="85">
        <f>B65+B70+B71</f>
        <v>3689461.7</v>
      </c>
      <c r="C64" s="85">
        <f>C65+C70+C71</f>
        <v>2821721.6</v>
      </c>
      <c r="D64" s="85">
        <f>D65+D70+D71</f>
        <v>2820668.3000000003</v>
      </c>
      <c r="E64" s="86">
        <f t="shared" si="3"/>
        <v>76.45202821864231</v>
      </c>
      <c r="F64" s="86">
        <v>43822.57000000001</v>
      </c>
      <c r="G64" s="87">
        <v>1823172.5</v>
      </c>
      <c r="H64" s="86">
        <f t="shared" si="4"/>
        <v>154.71209114880793</v>
      </c>
      <c r="I64" s="30">
        <f>D64-сентябрь!D64</f>
        <v>780060.9000000001</v>
      </c>
    </row>
    <row r="65" spans="1:9" ht="25.5">
      <c r="A65" s="59" t="s">
        <v>19</v>
      </c>
      <c r="B65" s="85">
        <f>SUM(B66:B69)</f>
        <v>3707834.6</v>
      </c>
      <c r="C65" s="85">
        <f>SUM(C66:C69)</f>
        <v>2840094.5</v>
      </c>
      <c r="D65" s="85">
        <f>SUM(D66:D69)</f>
        <v>2839041.2</v>
      </c>
      <c r="E65" s="86">
        <f t="shared" si="3"/>
        <v>76.56871209950951</v>
      </c>
      <c r="F65" s="86">
        <v>46091.770000000004</v>
      </c>
      <c r="G65" s="30">
        <v>1826017.8</v>
      </c>
      <c r="H65" s="86">
        <f t="shared" si="4"/>
        <v>155.47719195289335</v>
      </c>
      <c r="I65" s="30">
        <f>D65-сентябрь!D65</f>
        <v>780060.9000000001</v>
      </c>
    </row>
    <row r="66" spans="1:9" ht="12.75">
      <c r="A66" s="56" t="s">
        <v>108</v>
      </c>
      <c r="B66" s="85">
        <v>582119.3</v>
      </c>
      <c r="C66" s="85">
        <v>535696.6</v>
      </c>
      <c r="D66" s="85">
        <v>535696.6</v>
      </c>
      <c r="E66" s="86">
        <f t="shared" si="3"/>
        <v>92.02522575698829</v>
      </c>
      <c r="F66" s="86">
        <v>15902.8</v>
      </c>
      <c r="G66" s="82">
        <v>416365.7</v>
      </c>
      <c r="H66" s="48">
        <f t="shared" si="4"/>
        <v>128.66011777627216</v>
      </c>
      <c r="I66" s="30">
        <f>D66-сентябрь!D66</f>
        <v>128724.29999999999</v>
      </c>
    </row>
    <row r="67" spans="1:9" ht="12.75" customHeight="1">
      <c r="A67" s="56" t="s">
        <v>109</v>
      </c>
      <c r="B67" s="85">
        <v>1842777.7</v>
      </c>
      <c r="C67" s="85">
        <v>1230644.9</v>
      </c>
      <c r="D67" s="85">
        <v>1230346.4</v>
      </c>
      <c r="E67" s="86">
        <f t="shared" si="3"/>
        <v>66.76586112367215</v>
      </c>
      <c r="F67" s="86">
        <v>0</v>
      </c>
      <c r="G67" s="82">
        <v>491421.7</v>
      </c>
      <c r="H67" s="48">
        <f t="shared" si="4"/>
        <v>250.36468678530065</v>
      </c>
      <c r="I67" s="30">
        <f>D67-сентябрь!D67</f>
        <v>440496.8999999999</v>
      </c>
    </row>
    <row r="68" spans="1:9" ht="18.75" customHeight="1">
      <c r="A68" s="56" t="s">
        <v>110</v>
      </c>
      <c r="B68" s="85">
        <v>1204328.9</v>
      </c>
      <c r="C68" s="85">
        <v>1012048.9</v>
      </c>
      <c r="D68" s="85">
        <v>1011294</v>
      </c>
      <c r="E68" s="86">
        <f t="shared" si="3"/>
        <v>83.971579524497</v>
      </c>
      <c r="F68" s="86">
        <v>30188.97</v>
      </c>
      <c r="G68" s="85">
        <v>876833.5</v>
      </c>
      <c r="H68" s="48">
        <f t="shared" si="4"/>
        <v>115.33478134674371</v>
      </c>
      <c r="I68" s="30">
        <f>D68-сентябрь!D68</f>
        <v>200453.80000000005</v>
      </c>
    </row>
    <row r="69" spans="1:9" ht="12.75" customHeight="1">
      <c r="A69" s="2" t="s">
        <v>122</v>
      </c>
      <c r="B69" s="82">
        <v>78608.7</v>
      </c>
      <c r="C69" s="82">
        <v>61704.1</v>
      </c>
      <c r="D69" s="82">
        <v>61704.2</v>
      </c>
      <c r="E69" s="86">
        <f t="shared" si="3"/>
        <v>78.4953828265828</v>
      </c>
      <c r="F69" s="86">
        <v>0</v>
      </c>
      <c r="G69" s="85">
        <v>41396.9</v>
      </c>
      <c r="H69" s="48">
        <f t="shared" si="4"/>
        <v>149.05512248501697</v>
      </c>
      <c r="I69" s="30">
        <f>D69-сентябрь!D69</f>
        <v>10385.899999999994</v>
      </c>
    </row>
    <row r="70" spans="1:9" ht="20.25" customHeight="1">
      <c r="A70" s="59" t="s">
        <v>113</v>
      </c>
      <c r="B70" s="83">
        <v>0</v>
      </c>
      <c r="C70" s="83">
        <v>0</v>
      </c>
      <c r="D70" s="83">
        <v>0</v>
      </c>
      <c r="E70" s="86" t="e">
        <f t="shared" si="3"/>
        <v>#DIV/0!</v>
      </c>
      <c r="F70" s="86">
        <v>0</v>
      </c>
      <c r="G70" s="85">
        <v>0</v>
      </c>
      <c r="H70" s="48">
        <v>0</v>
      </c>
      <c r="I70" s="30">
        <f>D70-сентябрь!D70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 t="shared" si="3"/>
        <v>100</v>
      </c>
      <c r="F71" s="86">
        <v>-2269.2</v>
      </c>
      <c r="G71" s="85">
        <v>-2845.3</v>
      </c>
      <c r="H71" s="86">
        <f>$D:$D/$G:$G*100</f>
        <v>645.7280427371454</v>
      </c>
      <c r="I71" s="30">
        <f>D71-сентябрь!D71</f>
        <v>0</v>
      </c>
    </row>
    <row r="72" spans="1:9" ht="12.75">
      <c r="A72" s="52" t="s">
        <v>20</v>
      </c>
      <c r="B72" s="87">
        <f>B63+B64</f>
        <v>4396883.8</v>
      </c>
      <c r="C72" s="87">
        <f>C63+C64</f>
        <v>3439910</v>
      </c>
      <c r="D72" s="87">
        <f>D63+D64</f>
        <v>3455241.4000000004</v>
      </c>
      <c r="E72" s="86">
        <f t="shared" si="3"/>
        <v>78.5838688754977</v>
      </c>
      <c r="F72" s="86">
        <v>71521.66</v>
      </c>
      <c r="G72" s="87">
        <v>2342216.2</v>
      </c>
      <c r="H72" s="86">
        <f>$D:$D/$G:$G*100</f>
        <v>147.52017341524663</v>
      </c>
      <c r="I72" s="30">
        <f>D72-сентябрь!D72</f>
        <v>917155.5</v>
      </c>
    </row>
    <row r="73" spans="1:9" ht="12.75" hidden="1">
      <c r="A73" s="59"/>
      <c r="B73" s="66"/>
      <c r="C73" s="66"/>
      <c r="D73" s="66"/>
      <c r="E73" s="50"/>
      <c r="F73" s="50"/>
      <c r="G73" s="87">
        <v>-2845.3</v>
      </c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30">
        <f>G66+G65</f>
        <v>2242383.5</v>
      </c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101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102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0">
        <f>B79+B80+B81+B82+B83+B84+B85+B86</f>
        <v>493528.6</v>
      </c>
      <c r="C78" s="30">
        <f>C79+C80+C81+C82+C83+C84+C85+C86</f>
        <v>246555.7</v>
      </c>
      <c r="D78" s="30">
        <f>D79+D80+D81+D82+D83+D84+D85+D86</f>
        <v>242098.3</v>
      </c>
      <c r="E78" s="86">
        <f>$D:$D/$B:$B*100</f>
        <v>49.054563403215134</v>
      </c>
      <c r="F78" s="86">
        <f>$D:$D/$C:$C*100</f>
        <v>98.19213264994481</v>
      </c>
      <c r="G78" s="30">
        <f>G79+G80+G81+G82+G83+G84+G85+G86</f>
        <v>134935.78</v>
      </c>
      <c r="H78" s="86">
        <f aca="true" t="shared" si="5" ref="H78:H83">$D:$D/$G:$G*100</f>
        <v>179.41742360699288</v>
      </c>
      <c r="I78" s="30">
        <f>D78-октябрь!D78</f>
        <v>32645.52999999997</v>
      </c>
    </row>
    <row r="79" spans="1:9" ht="14.25" customHeight="1">
      <c r="A79" s="8" t="s">
        <v>24</v>
      </c>
      <c r="B79" s="82">
        <v>3022.8</v>
      </c>
      <c r="C79" s="71">
        <v>2549.9</v>
      </c>
      <c r="D79" s="71">
        <v>2430.1</v>
      </c>
      <c r="E79" s="48">
        <f>$D:$D/$B:$B*100</f>
        <v>80.39235146222045</v>
      </c>
      <c r="F79" s="48">
        <v>0</v>
      </c>
      <c r="G79" s="82">
        <v>2456.59</v>
      </c>
      <c r="H79" s="48">
        <f t="shared" si="5"/>
        <v>98.92167598174704</v>
      </c>
      <c r="I79" s="82">
        <f>D79-октябрь!D79</f>
        <v>171.82999999999993</v>
      </c>
    </row>
    <row r="80" spans="1:9" ht="12.75">
      <c r="A80" s="8" t="s">
        <v>25</v>
      </c>
      <c r="B80" s="82">
        <v>7960.6</v>
      </c>
      <c r="C80" s="71">
        <v>6853.5</v>
      </c>
      <c r="D80" s="71">
        <v>6524.2</v>
      </c>
      <c r="E80" s="48">
        <f>$D:$D/$B:$B*100</f>
        <v>81.95613395975178</v>
      </c>
      <c r="F80" s="48">
        <f>$D:$D/$C:$C*100</f>
        <v>95.19515575983074</v>
      </c>
      <c r="G80" s="82">
        <v>5493.52</v>
      </c>
      <c r="H80" s="48">
        <f t="shared" si="5"/>
        <v>118.76174110588474</v>
      </c>
      <c r="I80" s="82">
        <f>D80-октябрь!D80</f>
        <v>721.8999999999996</v>
      </c>
    </row>
    <row r="81" spans="1:9" ht="25.5">
      <c r="A81" s="8" t="s">
        <v>26</v>
      </c>
      <c r="B81" s="82">
        <v>71061.9</v>
      </c>
      <c r="C81" s="71">
        <v>55876.9</v>
      </c>
      <c r="D81" s="71">
        <v>52445.9</v>
      </c>
      <c r="E81" s="48">
        <f>$D:$D/$B:$B*100</f>
        <v>73.80312094103874</v>
      </c>
      <c r="F81" s="48">
        <f>$D:$D/$C:$C*100</f>
        <v>93.8597166270856</v>
      </c>
      <c r="G81" s="82">
        <v>51413.07</v>
      </c>
      <c r="H81" s="48">
        <f t="shared" si="5"/>
        <v>102.00888606729768</v>
      </c>
      <c r="I81" s="82">
        <f>D81-октябрь!D81</f>
        <v>5357.800000000003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71">
        <v>28.4</v>
      </c>
      <c r="H82" s="48">
        <f t="shared" si="5"/>
        <v>598.5915492957747</v>
      </c>
      <c r="I82" s="82">
        <f>D82-октябрь!D82</f>
        <v>0</v>
      </c>
    </row>
    <row r="83" spans="1:9" ht="25.5">
      <c r="A83" s="1" t="s">
        <v>27</v>
      </c>
      <c r="B83" s="85">
        <v>16482.4</v>
      </c>
      <c r="C83" s="71">
        <v>14612</v>
      </c>
      <c r="D83" s="71">
        <v>14388.9</v>
      </c>
      <c r="E83" s="48">
        <f>$D:$D/$B:$B*100</f>
        <v>87.29857302334611</v>
      </c>
      <c r="F83" s="48">
        <v>0</v>
      </c>
      <c r="G83" s="85">
        <v>13056.4</v>
      </c>
      <c r="H83" s="48">
        <f t="shared" si="5"/>
        <v>110.20572286388284</v>
      </c>
      <c r="I83" s="82">
        <f>D83-октябрь!D83</f>
        <v>1927.199999999999</v>
      </c>
    </row>
    <row r="84" spans="1:9" ht="12.75">
      <c r="A84" s="8" t="s">
        <v>28</v>
      </c>
      <c r="B84" s="82">
        <v>7709.7</v>
      </c>
      <c r="C84" s="71">
        <v>7709.7</v>
      </c>
      <c r="D84" s="71">
        <v>7709.7</v>
      </c>
      <c r="E84" s="48">
        <v>0</v>
      </c>
      <c r="F84" s="48">
        <v>0</v>
      </c>
      <c r="G84" s="82">
        <v>0</v>
      </c>
      <c r="H84" s="48">
        <v>0</v>
      </c>
      <c r="I84" s="82">
        <f>D84-октябрь!D84</f>
        <v>0</v>
      </c>
    </row>
    <row r="85" spans="1:9" ht="12.75">
      <c r="A85" s="8" t="s">
        <v>29</v>
      </c>
      <c r="B85" s="82">
        <v>21900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D85-октябрь!D85</f>
        <v>0</v>
      </c>
    </row>
    <row r="86" spans="1:9" ht="12.75">
      <c r="A86" s="1" t="s">
        <v>30</v>
      </c>
      <c r="B86" s="82">
        <v>365063.5</v>
      </c>
      <c r="C86" s="71">
        <v>158783.7</v>
      </c>
      <c r="D86" s="71">
        <v>158429.5</v>
      </c>
      <c r="E86" s="48">
        <f>$D:$D/$B:$B*100</f>
        <v>43.39779243884968</v>
      </c>
      <c r="F86" s="48">
        <f>$D:$D/$C:$C*100</f>
        <v>99.7769292439967</v>
      </c>
      <c r="G86" s="82">
        <v>62487.8</v>
      </c>
      <c r="H86" s="48">
        <f>$D:$D/$G:$G*100</f>
        <v>253.53669036195865</v>
      </c>
      <c r="I86" s="82">
        <f>D86-октябрь!D86</f>
        <v>24466.79999999999</v>
      </c>
    </row>
    <row r="87" spans="1:9" ht="12.75">
      <c r="A87" s="7" t="s">
        <v>31</v>
      </c>
      <c r="B87" s="87">
        <v>455</v>
      </c>
      <c r="C87" s="94">
        <v>382.7</v>
      </c>
      <c r="D87" s="94">
        <v>382.7</v>
      </c>
      <c r="E87" s="86">
        <f>$D:$D/$B:$B*100</f>
        <v>84.1098901098901</v>
      </c>
      <c r="F87" s="86">
        <f>$D:$D/$C:$C*100</f>
        <v>100</v>
      </c>
      <c r="G87" s="30">
        <v>268.88</v>
      </c>
      <c r="H87" s="86">
        <f>$D:$D/$G:$G*100</f>
        <v>142.33115144302292</v>
      </c>
      <c r="I87" s="30">
        <f>D87-октябрь!D87</f>
        <v>70.80000000000001</v>
      </c>
    </row>
    <row r="88" spans="1:9" ht="25.5">
      <c r="A88" s="9" t="s">
        <v>32</v>
      </c>
      <c r="B88" s="87">
        <v>7394</v>
      </c>
      <c r="C88" s="94">
        <v>5478.6</v>
      </c>
      <c r="D88" s="94">
        <v>5460.9</v>
      </c>
      <c r="E88" s="86">
        <f>$D:$D/$B:$B*100</f>
        <v>73.85582905058155</v>
      </c>
      <c r="F88" s="86">
        <f>$D:$D/$C:$C*100</f>
        <v>99.67692476180045</v>
      </c>
      <c r="G88" s="87">
        <v>3913.35</v>
      </c>
      <c r="H88" s="86">
        <f>$D:$D/$G:$G*100</f>
        <v>139.54540227682165</v>
      </c>
      <c r="I88" s="30">
        <f>D88-октябрь!D88</f>
        <v>816</v>
      </c>
    </row>
    <row r="89" spans="1:9" ht="12.75">
      <c r="A89" s="7" t="s">
        <v>33</v>
      </c>
      <c r="B89" s="30">
        <f>B90+B91+B92+B93+B94+0.1</f>
        <v>634553.2</v>
      </c>
      <c r="C89" s="30">
        <f>C90+C91+C92+C93+C94</f>
        <v>517125.1</v>
      </c>
      <c r="D89" s="30">
        <f>D90+D91+D92+D93+D94</f>
        <v>516505.2</v>
      </c>
      <c r="E89" s="86">
        <f>$D:$D/$B:$B*100</f>
        <v>81.39667406925062</v>
      </c>
      <c r="F89" s="86">
        <f>$D:$D/$C:$C*100</f>
        <v>99.88012571812894</v>
      </c>
      <c r="G89" s="30">
        <f>G90+G91+G92+G93+G94</f>
        <v>257293.00999999998</v>
      </c>
      <c r="H89" s="86">
        <f>$D:$D/$G:$G*100</f>
        <v>200.7459122189134</v>
      </c>
      <c r="I89" s="30">
        <f>D89-октябрь!D89</f>
        <v>212308.90000000002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>D90-октябрь!D90</f>
        <v>0</v>
      </c>
    </row>
    <row r="91" spans="1:9" ht="12.75" customHeight="1">
      <c r="A91" s="10" t="s">
        <v>67</v>
      </c>
      <c r="B91" s="82">
        <v>0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>D91-октябрь!D91</f>
        <v>0</v>
      </c>
    </row>
    <row r="92" spans="1:9" ht="12.75">
      <c r="A92" s="8" t="s">
        <v>34</v>
      </c>
      <c r="B92" s="82">
        <v>27875.6</v>
      </c>
      <c r="C92" s="71">
        <v>23213.8</v>
      </c>
      <c r="D92" s="71">
        <v>23213.8</v>
      </c>
      <c r="E92" s="48">
        <f>$D:$D/$B:$B*100</f>
        <v>83.27641378122803</v>
      </c>
      <c r="F92" s="48">
        <v>0</v>
      </c>
      <c r="G92" s="82">
        <v>21762.03</v>
      </c>
      <c r="H92" s="48">
        <f>$D:$D/$G:$G*100</f>
        <v>106.67111478111187</v>
      </c>
      <c r="I92" s="82">
        <f>D92-октябрь!D92</f>
        <v>2367.2000000000007</v>
      </c>
    </row>
    <row r="93" spans="1:9" ht="12.75">
      <c r="A93" s="10" t="s">
        <v>77</v>
      </c>
      <c r="B93" s="85">
        <v>562830.4</v>
      </c>
      <c r="C93" s="71">
        <v>464671</v>
      </c>
      <c r="D93" s="71">
        <v>464671</v>
      </c>
      <c r="E93" s="48">
        <f>$D:$D/$B:$B*100</f>
        <v>82.55968405402409</v>
      </c>
      <c r="F93" s="48">
        <f>$D:$D/$C:$C*100</f>
        <v>100</v>
      </c>
      <c r="G93" s="85">
        <v>204266.68</v>
      </c>
      <c r="H93" s="48">
        <f>$D:$D/$G:$G*100</f>
        <v>227.48252431576213</v>
      </c>
      <c r="I93" s="82">
        <f>D93-октябрь!D93</f>
        <v>207452.5</v>
      </c>
    </row>
    <row r="94" spans="1:9" ht="12.75">
      <c r="A94" s="8" t="s">
        <v>35</v>
      </c>
      <c r="B94" s="82">
        <v>43847.1</v>
      </c>
      <c r="C94" s="71">
        <v>29240.3</v>
      </c>
      <c r="D94" s="71">
        <v>28620.4</v>
      </c>
      <c r="E94" s="48">
        <f>$D:$D/$B:$B*100</f>
        <v>65.27318796454043</v>
      </c>
      <c r="F94" s="48">
        <f>$D:$D/$C:$C*100</f>
        <v>97.87998071155222</v>
      </c>
      <c r="G94" s="82">
        <v>31264.3</v>
      </c>
      <c r="H94" s="48">
        <f>$D:$D/$G:$G*100</f>
        <v>91.54338974485276</v>
      </c>
      <c r="I94" s="82">
        <f>D94-октябрь!D94</f>
        <v>2489.2000000000007</v>
      </c>
    </row>
    <row r="95" spans="1:9" ht="12.75">
      <c r="A95" s="7" t="s">
        <v>36</v>
      </c>
      <c r="B95" s="30">
        <f>B97+B98+B99+B96</f>
        <v>830941.7</v>
      </c>
      <c r="C95" s="86">
        <f>C97+C98+C99+C96</f>
        <v>494815.8</v>
      </c>
      <c r="D95" s="30">
        <f>D97+D98+D99+D96</f>
        <v>494744.3</v>
      </c>
      <c r="E95" s="30">
        <f>E98+E99+E96</f>
        <v>123.47139413626604</v>
      </c>
      <c r="F95" s="86">
        <f>$D:$D/$C:$C*100</f>
        <v>99.98555017847045</v>
      </c>
      <c r="G95" s="30">
        <f>G97+G98+G99+G96</f>
        <v>228743.36000000002</v>
      </c>
      <c r="H95" s="30">
        <f>H97+H98+H99</f>
        <v>735.0810973773549</v>
      </c>
      <c r="I95" s="30">
        <f>D95-октябрь!D95</f>
        <v>190031.69999999995</v>
      </c>
    </row>
    <row r="96" spans="1:9" ht="12.75">
      <c r="A96" s="8" t="s">
        <v>37</v>
      </c>
      <c r="B96" s="71">
        <v>89689.8</v>
      </c>
      <c r="C96" s="71">
        <v>33851.7</v>
      </c>
      <c r="D96" s="71">
        <v>33851.7</v>
      </c>
      <c r="E96" s="48">
        <v>0</v>
      </c>
      <c r="F96" s="48">
        <v>0</v>
      </c>
      <c r="G96" s="71">
        <v>75956.94</v>
      </c>
      <c r="H96" s="48">
        <f>$D:$D/$G:$G*100</f>
        <v>44.56696122829592</v>
      </c>
      <c r="I96" s="82">
        <f>D96-октябрь!D96</f>
        <v>7358.999999999996</v>
      </c>
    </row>
    <row r="97" spans="1:9" ht="12.75">
      <c r="A97" s="8" t="s">
        <v>38</v>
      </c>
      <c r="B97" s="82">
        <v>26447.1</v>
      </c>
      <c r="C97" s="71">
        <v>10183.3</v>
      </c>
      <c r="D97" s="71">
        <v>10183.3</v>
      </c>
      <c r="E97" s="48">
        <f aca="true" t="shared" si="6" ref="E97:E102">$D:$D/$B:$B*100</f>
        <v>38.50441069153139</v>
      </c>
      <c r="F97" s="48">
        <v>0</v>
      </c>
      <c r="G97" s="82">
        <v>13327.52</v>
      </c>
      <c r="H97" s="48">
        <f>$D:$D/$G:$G*100</f>
        <v>76.4080639158673</v>
      </c>
      <c r="I97" s="82">
        <f>D97-октябрь!D97</f>
        <v>376.7999999999993</v>
      </c>
    </row>
    <row r="98" spans="1:9" ht="12.75">
      <c r="A98" s="8" t="s">
        <v>39</v>
      </c>
      <c r="B98" s="82">
        <v>471267.6</v>
      </c>
      <c r="C98" s="71">
        <v>310451.2</v>
      </c>
      <c r="D98" s="71">
        <v>310433.3</v>
      </c>
      <c r="E98" s="48">
        <f t="shared" si="6"/>
        <v>65.8719801658336</v>
      </c>
      <c r="F98" s="48">
        <f>$D:$D/$C:$C*100</f>
        <v>99.99423419848272</v>
      </c>
      <c r="G98" s="82">
        <v>66594.05</v>
      </c>
      <c r="H98" s="48">
        <f>$D:$D/$G:$G*100</f>
        <v>466.15771228810974</v>
      </c>
      <c r="I98" s="82">
        <f>D98-октябрь!D98</f>
        <v>118181.09999999998</v>
      </c>
    </row>
    <row r="99" spans="1:9" ht="27" customHeight="1">
      <c r="A99" s="97" t="s">
        <v>188</v>
      </c>
      <c r="B99" s="82">
        <v>243537.2</v>
      </c>
      <c r="C99" s="71">
        <v>140329.6</v>
      </c>
      <c r="D99" s="71">
        <v>140276</v>
      </c>
      <c r="E99" s="48">
        <f t="shared" si="6"/>
        <v>57.599413970432444</v>
      </c>
      <c r="F99" s="48">
        <f>$D:$D/$C:$C*100</f>
        <v>99.96180420951816</v>
      </c>
      <c r="G99" s="82">
        <v>72864.85</v>
      </c>
      <c r="H99" s="48">
        <f>$D:$D/$G:$G*100</f>
        <v>192.51532117337783</v>
      </c>
      <c r="I99" s="82">
        <f>D99-октябрь!D99</f>
        <v>64114.8</v>
      </c>
    </row>
    <row r="100" spans="1:9" ht="12.75">
      <c r="A100" s="11" t="s">
        <v>115</v>
      </c>
      <c r="B100" s="30">
        <f>B101+B102</f>
        <v>17914.8</v>
      </c>
      <c r="C100" s="30">
        <f>C101+C102</f>
        <v>1401.6</v>
      </c>
      <c r="D100" s="30">
        <f>D101+D102</f>
        <v>1373.3</v>
      </c>
      <c r="E100" s="86">
        <f t="shared" si="6"/>
        <v>7.665728894545293</v>
      </c>
      <c r="F100" s="86"/>
      <c r="G100" s="30">
        <f>G101+G102</f>
        <v>781.87</v>
      </c>
      <c r="H100" s="30">
        <f>H101</f>
        <v>170.19453361812066</v>
      </c>
      <c r="I100" s="30">
        <f>D100-октябрь!D100</f>
        <v>314.29999999999995</v>
      </c>
    </row>
    <row r="101" spans="1:9" ht="25.5">
      <c r="A101" s="41" t="s">
        <v>143</v>
      </c>
      <c r="B101" s="82">
        <v>2063.8</v>
      </c>
      <c r="C101" s="71">
        <v>1359</v>
      </c>
      <c r="D101" s="71">
        <v>1330.7</v>
      </c>
      <c r="E101" s="48">
        <f t="shared" si="6"/>
        <v>64.47814710727783</v>
      </c>
      <c r="F101" s="48"/>
      <c r="G101" s="82">
        <v>781.87</v>
      </c>
      <c r="H101" s="48">
        <f>$D:$D/$G:$G*100</f>
        <v>170.19453361812066</v>
      </c>
      <c r="I101" s="82">
        <f>D101-октябрь!D101</f>
        <v>271.70000000000005</v>
      </c>
    </row>
    <row r="102" spans="1:9" ht="25.5">
      <c r="A102" s="8" t="s">
        <v>169</v>
      </c>
      <c r="B102" s="82">
        <v>15851</v>
      </c>
      <c r="C102" s="71">
        <v>42.6</v>
      </c>
      <c r="D102" s="71">
        <v>42.6</v>
      </c>
      <c r="E102" s="48">
        <f t="shared" si="6"/>
        <v>0.2687527600782285</v>
      </c>
      <c r="F102" s="48"/>
      <c r="G102" s="82">
        <v>0</v>
      </c>
      <c r="H102" s="48">
        <v>0</v>
      </c>
      <c r="I102" s="82">
        <f>D102-октябрь!D102</f>
        <v>42.6</v>
      </c>
    </row>
    <row r="103" spans="1:9" ht="12.75">
      <c r="A103" s="11" t="s">
        <v>41</v>
      </c>
      <c r="B103" s="30">
        <f>B104+B105+B107+B108+B109+B106</f>
        <v>1774211.9999999998</v>
      </c>
      <c r="C103" s="30">
        <f>C104+C105+C107+C108+C109+C106</f>
        <v>1511841.5</v>
      </c>
      <c r="D103" s="30">
        <f>D104+D105+D107+D108+D109+D106</f>
        <v>1510535.9000000001</v>
      </c>
      <c r="E103" s="30">
        <f>E104+E105+E108+E109+E107</f>
        <v>391.1225050084291</v>
      </c>
      <c r="F103" s="30">
        <f>F104+F105+F108+F109+F107</f>
        <v>499.8068768571388</v>
      </c>
      <c r="G103" s="30">
        <f>G104+G105+G106+G108+G109+G107</f>
        <v>1346143.7199999997</v>
      </c>
      <c r="H103" s="30">
        <f>H104+H105+H108+H109+H107</f>
        <v>477.8596751193111</v>
      </c>
      <c r="I103" s="30">
        <f>D103-октябрь!D103</f>
        <v>149421.7000000002</v>
      </c>
    </row>
    <row r="104" spans="1:9" ht="12.75">
      <c r="A104" s="8" t="s">
        <v>42</v>
      </c>
      <c r="B104" s="82">
        <v>664740.7</v>
      </c>
      <c r="C104" s="71">
        <v>572334.4</v>
      </c>
      <c r="D104" s="71">
        <v>572325</v>
      </c>
      <c r="E104" s="48">
        <f aca="true" t="shared" si="7" ref="E104:E122">$D:$D/$B:$B*100</f>
        <v>86.09748131865554</v>
      </c>
      <c r="F104" s="48">
        <f aca="true" t="shared" si="8" ref="F104:F112">$D:$D/$C:$C*100</f>
        <v>99.99835760352688</v>
      </c>
      <c r="G104" s="82">
        <v>525476.97</v>
      </c>
      <c r="H104" s="48">
        <f aca="true" t="shared" si="9" ref="H104:H112">$D:$D/$G:$G*100</f>
        <v>108.91533457688926</v>
      </c>
      <c r="I104" s="82">
        <f>D104-октябрь!D104</f>
        <v>57011</v>
      </c>
    </row>
    <row r="105" spans="1:9" ht="12.75">
      <c r="A105" s="8" t="s">
        <v>43</v>
      </c>
      <c r="B105" s="82">
        <v>718681.5</v>
      </c>
      <c r="C105" s="71">
        <v>612150.5</v>
      </c>
      <c r="D105" s="71">
        <v>612132.7</v>
      </c>
      <c r="E105" s="48">
        <f t="shared" si="7"/>
        <v>85.17440618688529</v>
      </c>
      <c r="F105" s="48">
        <f t="shared" si="8"/>
        <v>99.9970922183352</v>
      </c>
      <c r="G105" s="82">
        <v>532549.1</v>
      </c>
      <c r="H105" s="48">
        <f t="shared" si="9"/>
        <v>114.94389906958813</v>
      </c>
      <c r="I105" s="82">
        <f>D105-октябрь!D105</f>
        <v>57084.5</v>
      </c>
    </row>
    <row r="106" spans="1:9" ht="12.75">
      <c r="A106" s="22" t="s">
        <v>105</v>
      </c>
      <c r="B106" s="82">
        <v>158417.7</v>
      </c>
      <c r="C106" s="71">
        <v>131853</v>
      </c>
      <c r="D106" s="71">
        <v>130861.5</v>
      </c>
      <c r="E106" s="48">
        <f t="shared" si="7"/>
        <v>82.60535281095484</v>
      </c>
      <c r="F106" s="48">
        <f t="shared" si="8"/>
        <v>99.24802621100771</v>
      </c>
      <c r="G106" s="82">
        <v>110430.01</v>
      </c>
      <c r="H106" s="48">
        <f t="shared" si="9"/>
        <v>118.50175509356559</v>
      </c>
      <c r="I106" s="82">
        <f>D106-октябрь!D106</f>
        <v>15932.300000000003</v>
      </c>
    </row>
    <row r="107" spans="1:9" ht="25.5">
      <c r="A107" s="8" t="s">
        <v>123</v>
      </c>
      <c r="B107" s="82">
        <v>708</v>
      </c>
      <c r="C107" s="71">
        <v>343.1</v>
      </c>
      <c r="D107" s="71">
        <v>343.1</v>
      </c>
      <c r="E107" s="48">
        <f t="shared" si="7"/>
        <v>48.46045197740113</v>
      </c>
      <c r="F107" s="48">
        <f t="shared" si="8"/>
        <v>100</v>
      </c>
      <c r="G107" s="82">
        <v>971.93</v>
      </c>
      <c r="H107" s="48">
        <f t="shared" si="9"/>
        <v>35.300896155072905</v>
      </c>
      <c r="I107" s="82">
        <f>D107-октябрь!D107</f>
        <v>-115.59999999999997</v>
      </c>
    </row>
    <row r="108" spans="1:9" ht="12.75">
      <c r="A108" s="8" t="s">
        <v>44</v>
      </c>
      <c r="B108" s="82">
        <v>48655.7</v>
      </c>
      <c r="C108" s="71">
        <v>43017.8</v>
      </c>
      <c r="D108" s="71">
        <v>43017.8</v>
      </c>
      <c r="E108" s="48">
        <f t="shared" si="7"/>
        <v>88.41266285347864</v>
      </c>
      <c r="F108" s="48">
        <f t="shared" si="8"/>
        <v>100</v>
      </c>
      <c r="G108" s="82">
        <v>39956.95</v>
      </c>
      <c r="H108" s="48">
        <f t="shared" si="9"/>
        <v>107.66036947264494</v>
      </c>
      <c r="I108" s="82">
        <f>D108-октябрь!D108</f>
        <v>4280.200000000004</v>
      </c>
    </row>
    <row r="109" spans="1:9" ht="12.75">
      <c r="A109" s="8" t="s">
        <v>45</v>
      </c>
      <c r="B109" s="82">
        <v>183008.4</v>
      </c>
      <c r="C109" s="71">
        <v>152142.7</v>
      </c>
      <c r="D109" s="71">
        <v>151855.8</v>
      </c>
      <c r="E109" s="48">
        <f t="shared" si="7"/>
        <v>82.9775026720085</v>
      </c>
      <c r="F109" s="48">
        <f t="shared" si="8"/>
        <v>99.81142703527674</v>
      </c>
      <c r="G109" s="85">
        <v>136758.76</v>
      </c>
      <c r="H109" s="48">
        <f t="shared" si="9"/>
        <v>111.03917584511586</v>
      </c>
      <c r="I109" s="82">
        <f>D109-октябрь!D109</f>
        <v>15229.299999999988</v>
      </c>
    </row>
    <row r="110" spans="1:9" ht="25.5">
      <c r="A110" s="11" t="s">
        <v>46</v>
      </c>
      <c r="B110" s="30">
        <f>B111+B112</f>
        <v>345342.9</v>
      </c>
      <c r="C110" s="30">
        <f>C111+C112</f>
        <v>184128.69999999998</v>
      </c>
      <c r="D110" s="30">
        <f>D111+D112</f>
        <v>184116.8</v>
      </c>
      <c r="E110" s="86">
        <f t="shared" si="7"/>
        <v>53.31419872827846</v>
      </c>
      <c r="F110" s="86">
        <f t="shared" si="8"/>
        <v>99.99353712919279</v>
      </c>
      <c r="G110" s="30">
        <f>G111+G112</f>
        <v>141078.81</v>
      </c>
      <c r="H110" s="86">
        <f t="shared" si="9"/>
        <v>130.50634606288497</v>
      </c>
      <c r="I110" s="30">
        <f>D110-октябрь!D110</f>
        <v>16987</v>
      </c>
    </row>
    <row r="111" spans="1:9" ht="12.75">
      <c r="A111" s="8" t="s">
        <v>47</v>
      </c>
      <c r="B111" s="82">
        <v>265119</v>
      </c>
      <c r="C111" s="71">
        <v>156675.4</v>
      </c>
      <c r="D111" s="71">
        <v>156675.4</v>
      </c>
      <c r="E111" s="48">
        <f t="shared" si="7"/>
        <v>59.09625488931385</v>
      </c>
      <c r="F111" s="48">
        <f t="shared" si="8"/>
        <v>100</v>
      </c>
      <c r="G111" s="82">
        <v>110379.28</v>
      </c>
      <c r="H111" s="48">
        <f t="shared" si="9"/>
        <v>141.94276317076898</v>
      </c>
      <c r="I111" s="82">
        <f>D111-октябрь!D111</f>
        <v>14045.899999999994</v>
      </c>
    </row>
    <row r="112" spans="1:9" ht="25.5">
      <c r="A112" s="8" t="s">
        <v>48</v>
      </c>
      <c r="B112" s="82">
        <v>80223.9</v>
      </c>
      <c r="C112" s="71">
        <v>27453.3</v>
      </c>
      <c r="D112" s="71">
        <v>27441.4</v>
      </c>
      <c r="E112" s="48">
        <f t="shared" si="7"/>
        <v>34.2060159129636</v>
      </c>
      <c r="F112" s="48">
        <f t="shared" si="8"/>
        <v>99.9566536627655</v>
      </c>
      <c r="G112" s="82">
        <v>30699.53</v>
      </c>
      <c r="H112" s="48">
        <f t="shared" si="9"/>
        <v>89.3870362184698</v>
      </c>
      <c r="I112" s="82">
        <f>D112-октябрь!D112</f>
        <v>2941.100000000002</v>
      </c>
    </row>
    <row r="113" spans="1:9" ht="12.75">
      <c r="A113" s="11" t="s">
        <v>97</v>
      </c>
      <c r="B113" s="30">
        <f>B114</f>
        <v>195.76</v>
      </c>
      <c r="C113" s="30">
        <f>C114</f>
        <v>195.8</v>
      </c>
      <c r="D113" s="30">
        <f>D114</f>
        <v>195.8</v>
      </c>
      <c r="E113" s="86">
        <f t="shared" si="7"/>
        <v>100.02043318348998</v>
      </c>
      <c r="F113" s="86">
        <v>0</v>
      </c>
      <c r="G113" s="30">
        <f>G114</f>
        <v>42.45</v>
      </c>
      <c r="H113" s="48">
        <v>0</v>
      </c>
      <c r="I113" s="82">
        <f>D113-октябрь!D113</f>
        <v>0</v>
      </c>
    </row>
    <row r="114" spans="1:9" ht="12.75">
      <c r="A114" s="8" t="s">
        <v>98</v>
      </c>
      <c r="B114" s="82">
        <v>195.76</v>
      </c>
      <c r="C114" s="82">
        <v>195.8</v>
      </c>
      <c r="D114" s="82">
        <v>195.8</v>
      </c>
      <c r="E114" s="48">
        <f t="shared" si="7"/>
        <v>100.02043318348998</v>
      </c>
      <c r="F114" s="48">
        <v>0</v>
      </c>
      <c r="G114" s="82">
        <v>42.45</v>
      </c>
      <c r="H114" s="48">
        <v>0</v>
      </c>
      <c r="I114" s="82">
        <f>D114-октябрь!D114</f>
        <v>0</v>
      </c>
    </row>
    <row r="115" spans="1:9" ht="12.75">
      <c r="A115" s="11" t="s">
        <v>49</v>
      </c>
      <c r="B115" s="30">
        <f>B116+B117+B118+B119+B120</f>
        <v>184200</v>
      </c>
      <c r="C115" s="30">
        <f>C116+C117+C118+C119+C120</f>
        <v>125598.09999999999</v>
      </c>
      <c r="D115" s="30">
        <f>D116+D117+D118+D119+D120</f>
        <v>125360.2</v>
      </c>
      <c r="E115" s="86">
        <f t="shared" si="7"/>
        <v>68.05656894679696</v>
      </c>
      <c r="F115" s="86">
        <f>$D:$D/$C:$C*100</f>
        <v>99.81058630663999</v>
      </c>
      <c r="G115" s="30">
        <f>G116+G117+G118+G119+G120</f>
        <v>84461.86</v>
      </c>
      <c r="H115" s="86">
        <f aca="true" t="shared" si="10" ref="H115:H124">$D:$D/$G:$G*100</f>
        <v>148.42225828320616</v>
      </c>
      <c r="I115" s="30">
        <f>D115-октябрь!D115</f>
        <v>19422.800000000003</v>
      </c>
    </row>
    <row r="116" spans="1:9" ht="12.75">
      <c r="A116" s="8" t="s">
        <v>50</v>
      </c>
      <c r="B116" s="82">
        <v>2439.8</v>
      </c>
      <c r="C116" s="71">
        <v>2085.6</v>
      </c>
      <c r="D116" s="71">
        <v>2085.6</v>
      </c>
      <c r="E116" s="48">
        <f t="shared" si="7"/>
        <v>85.48241659152389</v>
      </c>
      <c r="F116" s="48">
        <v>0</v>
      </c>
      <c r="G116" s="82">
        <v>2349.39</v>
      </c>
      <c r="H116" s="48">
        <f t="shared" si="10"/>
        <v>88.77197910947096</v>
      </c>
      <c r="I116" s="82">
        <f>D116-октябрь!D116</f>
        <v>196.19999999999982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 t="shared" si="7"/>
        <v>#DIV/0!</v>
      </c>
      <c r="F117" s="48" t="e">
        <f>$D:$D/$C:$C*100</f>
        <v>#DIV/0!</v>
      </c>
      <c r="G117" s="82">
        <v>0</v>
      </c>
      <c r="H117" s="48" t="e">
        <f t="shared" si="10"/>
        <v>#DIV/0!</v>
      </c>
      <c r="I117" s="82">
        <f>D117-октябрь!D117</f>
        <v>0</v>
      </c>
    </row>
    <row r="118" spans="1:9" ht="12.75">
      <c r="A118" s="8" t="s">
        <v>52</v>
      </c>
      <c r="B118" s="85">
        <v>90014.2</v>
      </c>
      <c r="C118" s="71">
        <v>62571.5</v>
      </c>
      <c r="D118" s="71">
        <v>62571.5</v>
      </c>
      <c r="E118" s="48">
        <f t="shared" si="7"/>
        <v>69.51292129464018</v>
      </c>
      <c r="F118" s="48">
        <v>0</v>
      </c>
      <c r="G118" s="82">
        <v>52594.74</v>
      </c>
      <c r="H118" s="48">
        <f t="shared" si="10"/>
        <v>118.96912124672542</v>
      </c>
      <c r="I118" s="82">
        <f>D118-октябрь!D118</f>
        <v>6705.0999999999985</v>
      </c>
    </row>
    <row r="119" spans="1:9" ht="12.75">
      <c r="A119" s="8" t="s">
        <v>53</v>
      </c>
      <c r="B119" s="82">
        <v>89318.7</v>
      </c>
      <c r="C119" s="71">
        <v>58908.1</v>
      </c>
      <c r="D119" s="71">
        <v>58792.3</v>
      </c>
      <c r="E119" s="48">
        <f t="shared" si="7"/>
        <v>65.82305832933082</v>
      </c>
      <c r="F119" s="48">
        <f>$D:$D/$C:$C*100</f>
        <v>99.80342261930024</v>
      </c>
      <c r="G119" s="85">
        <v>28063.38</v>
      </c>
      <c r="H119" s="48">
        <f t="shared" si="10"/>
        <v>209.4982856662312</v>
      </c>
      <c r="I119" s="82">
        <f>D119-октябрь!D119</f>
        <v>12287.200000000004</v>
      </c>
    </row>
    <row r="120" spans="1:9" ht="12.75">
      <c r="A120" s="8" t="s">
        <v>54</v>
      </c>
      <c r="B120" s="82">
        <v>2427.3</v>
      </c>
      <c r="C120" s="71">
        <v>2032.9</v>
      </c>
      <c r="D120" s="71">
        <v>1910.8</v>
      </c>
      <c r="E120" s="48">
        <f t="shared" si="7"/>
        <v>78.72121287026737</v>
      </c>
      <c r="F120" s="48"/>
      <c r="G120" s="82">
        <v>1454.35</v>
      </c>
      <c r="H120" s="48">
        <f t="shared" si="10"/>
        <v>131.38515488018703</v>
      </c>
      <c r="I120" s="82">
        <f>D120-октябрь!D120</f>
        <v>234.29999999999995</v>
      </c>
    </row>
    <row r="121" spans="1:9" ht="12.75">
      <c r="A121" s="11" t="s">
        <v>61</v>
      </c>
      <c r="B121" s="86">
        <f>B122+B123+B124</f>
        <v>220465.59999999998</v>
      </c>
      <c r="C121" s="86">
        <f>C122+C123+C124</f>
        <v>184695.8</v>
      </c>
      <c r="D121" s="86">
        <f>D122+D123+D124</f>
        <v>184403.69999999998</v>
      </c>
      <c r="E121" s="86">
        <f t="shared" si="7"/>
        <v>83.6428449608465</v>
      </c>
      <c r="F121" s="86">
        <f>$D:$D/$C:$C*100</f>
        <v>99.84184805501803</v>
      </c>
      <c r="G121" s="87">
        <f>G122+G123+G124</f>
        <v>75624.08</v>
      </c>
      <c r="H121" s="86">
        <f t="shared" si="10"/>
        <v>243.84256972117873</v>
      </c>
      <c r="I121" s="30">
        <f>D121-октябрь!D121</f>
        <v>12890.399999999965</v>
      </c>
    </row>
    <row r="122" spans="1:9" ht="12.75">
      <c r="A122" s="41" t="s">
        <v>62</v>
      </c>
      <c r="B122" s="85">
        <v>95792.6</v>
      </c>
      <c r="C122" s="71">
        <v>80058.4</v>
      </c>
      <c r="D122" s="71">
        <v>80058.4</v>
      </c>
      <c r="E122" s="48">
        <f t="shared" si="7"/>
        <v>83.57472289091223</v>
      </c>
      <c r="F122" s="48">
        <f>$D:$D/$C:$C*100</f>
        <v>100</v>
      </c>
      <c r="G122" s="85">
        <v>58160.89</v>
      </c>
      <c r="H122" s="48">
        <f t="shared" si="10"/>
        <v>137.64988809490364</v>
      </c>
      <c r="I122" s="82">
        <f>D122-октябрь!D122</f>
        <v>5895.299999999988</v>
      </c>
    </row>
    <row r="123" spans="1:9" ht="24.75" customHeight="1">
      <c r="A123" s="12" t="s">
        <v>63</v>
      </c>
      <c r="B123" s="85">
        <v>120270.7</v>
      </c>
      <c r="C123" s="71">
        <v>100782.4</v>
      </c>
      <c r="D123" s="71">
        <v>100779.4</v>
      </c>
      <c r="E123" s="48">
        <v>0</v>
      </c>
      <c r="F123" s="48">
        <v>0</v>
      </c>
      <c r="G123" s="85">
        <v>14326.3</v>
      </c>
      <c r="H123" s="48">
        <f t="shared" si="10"/>
        <v>703.4572778735612</v>
      </c>
      <c r="I123" s="82">
        <f>D123-октябрь!D123</f>
        <v>6624.299999999988</v>
      </c>
    </row>
    <row r="124" spans="1:9" ht="25.5">
      <c r="A124" s="12" t="s">
        <v>73</v>
      </c>
      <c r="B124" s="85">
        <v>4402.3</v>
      </c>
      <c r="C124" s="71">
        <v>3855</v>
      </c>
      <c r="D124" s="71">
        <v>3565.9</v>
      </c>
      <c r="E124" s="48">
        <f>$D:$D/$B:$B*100</f>
        <v>81.00084046975444</v>
      </c>
      <c r="F124" s="48">
        <f>$D:$D/$C:$C*100</f>
        <v>92.50064850843061</v>
      </c>
      <c r="G124" s="85">
        <v>3136.89</v>
      </c>
      <c r="H124" s="48">
        <f t="shared" si="10"/>
        <v>113.67628447283775</v>
      </c>
      <c r="I124" s="82">
        <f>D124-октябрь!D124</f>
        <v>370.8000000000002</v>
      </c>
    </row>
    <row r="125" spans="1:9" ht="26.25" customHeight="1">
      <c r="A125" s="13" t="s">
        <v>80</v>
      </c>
      <c r="B125" s="87">
        <v>2.01</v>
      </c>
      <c r="C125" s="71">
        <v>2.01</v>
      </c>
      <c r="D125" s="71">
        <v>2.01</v>
      </c>
      <c r="E125" s="48">
        <f>$D:$D/$B:$B*100</f>
        <v>100</v>
      </c>
      <c r="F125" s="48">
        <v>0</v>
      </c>
      <c r="G125" s="87">
        <f>G126</f>
        <v>14.9</v>
      </c>
      <c r="H125" s="48">
        <v>0</v>
      </c>
      <c r="I125" s="82">
        <f>D125-октябрь!D125</f>
        <v>-0.0038400000000002876</v>
      </c>
    </row>
    <row r="126" spans="1:9" ht="13.5" customHeight="1">
      <c r="A126" s="12" t="s">
        <v>81</v>
      </c>
      <c r="B126" s="85">
        <v>2.01</v>
      </c>
      <c r="C126" s="82">
        <f>2.01</f>
        <v>2.01</v>
      </c>
      <c r="D126" s="82">
        <f>2.01</f>
        <v>2.01</v>
      </c>
      <c r="E126" s="48">
        <f>$D:$D/$B:$B*100</f>
        <v>100</v>
      </c>
      <c r="F126" s="48">
        <v>0</v>
      </c>
      <c r="G126" s="85">
        <v>14.9</v>
      </c>
      <c r="H126" s="48">
        <v>0</v>
      </c>
      <c r="I126" s="82">
        <f>D126-октябрь!D126</f>
        <v>0</v>
      </c>
    </row>
    <row r="127" spans="1:9" ht="15.75" customHeight="1">
      <c r="A127" s="14" t="s">
        <v>55</v>
      </c>
      <c r="B127" s="30">
        <f>B78+B87+B88+B89+B95+B103+B110+B113+B115+B121+B125+B100</f>
        <v>4509205.569999998</v>
      </c>
      <c r="C127" s="30">
        <f>C78+C87+C88+C89+C95+C103+C110+C113+C115+C121+C125+C100</f>
        <v>3272221.4099999997</v>
      </c>
      <c r="D127" s="30">
        <f>D78+D87+D88+D89+D95+D103+D110+D113+D115+D121+D125+D100</f>
        <v>3265179.1099999994</v>
      </c>
      <c r="E127" s="86">
        <f>$D:$D/$B:$B*100</f>
        <v>72.41140505377317</v>
      </c>
      <c r="F127" s="86">
        <f>$D:$D/$C:$C*100</f>
        <v>99.78478534556132</v>
      </c>
      <c r="G127" s="30">
        <f>G78+G87+G88+G89+G95+G103+G110+G113+G115+G121+G125+G100</f>
        <v>2273302.07</v>
      </c>
      <c r="H127" s="86">
        <f>$D:$D/$G:$G*100</f>
        <v>143.6315548685529</v>
      </c>
      <c r="I127" s="30">
        <f>D127-октябрь!D127</f>
        <v>634909.12616</v>
      </c>
    </row>
    <row r="128" spans="1:9" ht="26.25" customHeight="1">
      <c r="A128" s="15" t="s">
        <v>56</v>
      </c>
      <c r="B128" s="30">
        <f>B72-B127</f>
        <v>-112321.76999999862</v>
      </c>
      <c r="C128" s="30">
        <f>C72-C127</f>
        <v>167688.59000000032</v>
      </c>
      <c r="D128" s="30">
        <f>D72-D127</f>
        <v>190062.29000000097</v>
      </c>
      <c r="E128" s="30"/>
      <c r="F128" s="30"/>
      <c r="G128" s="30">
        <f>G76-G127</f>
        <v>-2273302.07</v>
      </c>
      <c r="H128" s="30"/>
      <c r="I128" s="30">
        <f>D128-октябрь!D128</f>
        <v>-37112.22615999961</v>
      </c>
    </row>
    <row r="129" spans="1:9" ht="24" customHeight="1">
      <c r="A129" s="1" t="s">
        <v>57</v>
      </c>
      <c r="B129" s="85" t="s">
        <v>165</v>
      </c>
      <c r="C129" s="85"/>
      <c r="D129" s="85" t="s">
        <v>192</v>
      </c>
      <c r="E129" s="85"/>
      <c r="F129" s="85"/>
      <c r="G129" s="89" t="s">
        <v>193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220883.98</v>
      </c>
      <c r="E130" s="85"/>
      <c r="F130" s="85"/>
      <c r="G130" s="88">
        <f>G132+G133</f>
        <v>71063.33</v>
      </c>
      <c r="H130" s="85"/>
      <c r="I130" s="30">
        <f>D130-октябрь!D130</f>
        <v>-37111.01999999999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89"/>
      <c r="H131" s="85"/>
      <c r="I131" s="82">
        <f>D131-октябрь!D131</f>
        <v>0</v>
      </c>
    </row>
    <row r="132" spans="1:9" ht="12.75">
      <c r="A132" s="5" t="s">
        <v>59</v>
      </c>
      <c r="B132" s="85">
        <f>Март!B130</f>
        <v>24892.3</v>
      </c>
      <c r="C132" s="85"/>
      <c r="D132" s="85">
        <v>138694.87</v>
      </c>
      <c r="E132" s="85"/>
      <c r="F132" s="85"/>
      <c r="G132" s="89">
        <v>30548.4</v>
      </c>
      <c r="H132" s="85"/>
      <c r="I132" s="82">
        <f>D132-октябрь!D132</f>
        <v>-80594.93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220883.98-D132</f>
        <v>82189.11000000002</v>
      </c>
      <c r="E133" s="85"/>
      <c r="F133" s="85"/>
      <c r="G133" s="89">
        <v>40514.93</v>
      </c>
      <c r="H133" s="85"/>
      <c r="I133" s="82">
        <f>D133-октябрь!D133</f>
        <v>43483.91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88">
        <f>G135-G136</f>
        <v>20000</v>
      </c>
      <c r="H134" s="90"/>
      <c r="I134" s="82">
        <f>D134-октябрь!D134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89">
        <f>'[2]сентябрь'!G133</f>
        <v>0</v>
      </c>
      <c r="H135" s="91"/>
      <c r="I135" s="82">
        <f>D135-октябрь!D135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89">
        <v>-20000</v>
      </c>
      <c r="H136" s="91"/>
      <c r="I136" s="82">
        <f>D136-октябрь!D136</f>
        <v>0</v>
      </c>
    </row>
    <row r="137" spans="1:9" ht="12.75">
      <c r="A137" s="16"/>
      <c r="B137" s="25"/>
      <c r="C137" s="25"/>
      <c r="D137" s="25"/>
      <c r="E137" s="25"/>
      <c r="F137" s="25"/>
      <c r="G137" s="103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105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1" sqref="G111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hidden="1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104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195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196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3</v>
      </c>
      <c r="E5" s="20">
        <v>4</v>
      </c>
      <c r="F5" s="20">
        <v>6</v>
      </c>
      <c r="G5" s="99">
        <v>5</v>
      </c>
      <c r="H5" s="21">
        <v>6</v>
      </c>
      <c r="I5" s="34">
        <v>7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0">
        <f>B8+B16+B21+B26+B29+B36++B45+B46+B47+B51+B62</f>
        <v>708978.4499999998</v>
      </c>
      <c r="C7" s="30">
        <f>C8+C16+C21+C26+C29+C36++C45+C46+C47+C51+C62</f>
        <v>708978.4499999998</v>
      </c>
      <c r="D7" s="30">
        <f>D8+D16+D21+D26+D29+D36++D45+D46+D47+D51+D62</f>
        <v>750547.68</v>
      </c>
      <c r="E7" s="86">
        <f>$D:$D/$B:$B*100</f>
        <v>105.8632571977329</v>
      </c>
      <c r="F7" s="86">
        <v>27699.089999999997</v>
      </c>
      <c r="G7" s="30">
        <f>'[3]декабрь'!D7</f>
        <v>598872.4091000002</v>
      </c>
      <c r="H7" s="86">
        <f aca="true" t="shared" si="0" ref="H7:H35">$D:$D/$G:$G*100</f>
        <v>125.32680894882786</v>
      </c>
      <c r="I7" s="30">
        <f>D7-ноябрь!D7</f>
        <v>115974.58000000007</v>
      </c>
    </row>
    <row r="8" spans="1:9" ht="15" customHeight="1">
      <c r="A8" s="52" t="s">
        <v>4</v>
      </c>
      <c r="B8" s="86">
        <f>B9+B10</f>
        <v>381541.55</v>
      </c>
      <c r="C8" s="86">
        <f>C9+C10</f>
        <v>381541.55</v>
      </c>
      <c r="D8" s="86">
        <f>D9+D10-0.1</f>
        <v>395566.29000000004</v>
      </c>
      <c r="E8" s="86">
        <f aca="true" t="shared" si="1" ref="E8:E22">$D:$D/$B:$B*100</f>
        <v>103.6758093581158</v>
      </c>
      <c r="F8" s="86">
        <v>10645.39</v>
      </c>
      <c r="G8" s="30">
        <f>'[3]декабрь'!D8</f>
        <v>305723.71226</v>
      </c>
      <c r="H8" s="86">
        <f t="shared" si="0"/>
        <v>129.38685294505197</v>
      </c>
      <c r="I8" s="30">
        <f>D8-ноябрь!D8</f>
        <v>66411.69</v>
      </c>
    </row>
    <row r="9" spans="1:9" ht="25.5">
      <c r="A9" s="53" t="s">
        <v>5</v>
      </c>
      <c r="B9" s="87">
        <v>8800</v>
      </c>
      <c r="C9" s="87">
        <v>8800</v>
      </c>
      <c r="D9" s="87">
        <v>9690.98</v>
      </c>
      <c r="E9" s="86">
        <f t="shared" si="1"/>
        <v>110.12477272727273</v>
      </c>
      <c r="F9" s="86">
        <v>200.86</v>
      </c>
      <c r="G9" s="30">
        <f>'[3]декабрь'!D9</f>
        <v>10340.24195</v>
      </c>
      <c r="H9" s="86">
        <f t="shared" si="0"/>
        <v>93.72101781428819</v>
      </c>
      <c r="I9" s="30">
        <f>D9-ноябрь!D9</f>
        <v>1106.6800000000003</v>
      </c>
    </row>
    <row r="10" spans="1:9" ht="12.75" customHeight="1">
      <c r="A10" s="54" t="s">
        <v>70</v>
      </c>
      <c r="B10" s="92">
        <f>SUM(B11:B15)</f>
        <v>372741.55</v>
      </c>
      <c r="C10" s="92">
        <f>SUM(C11:C15)</f>
        <v>372741.55</v>
      </c>
      <c r="D10" s="92">
        <f>SUM(D11:D15)</f>
        <v>385875.41000000003</v>
      </c>
      <c r="E10" s="86">
        <f t="shared" si="1"/>
        <v>103.52358356614657</v>
      </c>
      <c r="F10" s="86">
        <v>10444.529999999999</v>
      </c>
      <c r="G10" s="30">
        <f>'[3]декабрь'!D10</f>
        <v>295383.47031</v>
      </c>
      <c r="H10" s="86">
        <f t="shared" si="0"/>
        <v>130.6354108423976</v>
      </c>
      <c r="I10" s="30">
        <f>D10-ноябрь!D10</f>
        <v>65305.01000000001</v>
      </c>
    </row>
    <row r="11" spans="1:9" ht="51">
      <c r="A11" s="56" t="s">
        <v>74</v>
      </c>
      <c r="B11" s="85">
        <v>310961.57</v>
      </c>
      <c r="C11" s="85">
        <v>310961.57</v>
      </c>
      <c r="D11" s="85">
        <v>323094.04</v>
      </c>
      <c r="E11" s="86">
        <f t="shared" si="1"/>
        <v>103.90159787268888</v>
      </c>
      <c r="F11" s="86">
        <v>10058</v>
      </c>
      <c r="G11" s="30">
        <f>'[3]декабрь'!D11</f>
        <v>280294.90177999996</v>
      </c>
      <c r="H11" s="48">
        <f t="shared" si="0"/>
        <v>115.26932453933556</v>
      </c>
      <c r="I11" s="30">
        <f>D11-ноябрь!D11</f>
        <v>63951.43999999997</v>
      </c>
    </row>
    <row r="12" spans="1:9" ht="94.5" customHeight="1">
      <c r="A12" s="56" t="s">
        <v>75</v>
      </c>
      <c r="B12" s="85">
        <v>1281.5</v>
      </c>
      <c r="C12" s="85">
        <v>1281.5</v>
      </c>
      <c r="D12" s="85">
        <v>1308.51</v>
      </c>
      <c r="E12" s="86">
        <f t="shared" si="1"/>
        <v>102.1076863051112</v>
      </c>
      <c r="F12" s="86">
        <v>81.56</v>
      </c>
      <c r="G12" s="30">
        <f>'[3]декабрь'!D12</f>
        <v>6543.3291500000005</v>
      </c>
      <c r="H12" s="48">
        <f t="shared" si="0"/>
        <v>19.997618490581356</v>
      </c>
      <c r="I12" s="30">
        <f>D12-ноябрь!D12</f>
        <v>119.41000000000008</v>
      </c>
    </row>
    <row r="13" spans="1:9" ht="25.5">
      <c r="A13" s="56" t="s">
        <v>76</v>
      </c>
      <c r="B13" s="85">
        <v>4936.4</v>
      </c>
      <c r="C13" s="85">
        <v>4936.4</v>
      </c>
      <c r="D13" s="85">
        <v>5110.34</v>
      </c>
      <c r="E13" s="86">
        <f t="shared" si="1"/>
        <v>103.52362045215138</v>
      </c>
      <c r="F13" s="86">
        <v>117.15</v>
      </c>
      <c r="G13" s="30">
        <f>'[3]декабрь'!D13</f>
        <v>3662.65036</v>
      </c>
      <c r="H13" s="48">
        <f t="shared" si="0"/>
        <v>139.52573949755882</v>
      </c>
      <c r="I13" s="30">
        <f>D13-ноябрь!D13</f>
        <v>263.53999999999996</v>
      </c>
    </row>
    <row r="14" spans="1:9" ht="63.75">
      <c r="A14" s="56" t="s">
        <v>78</v>
      </c>
      <c r="B14" s="85">
        <v>3555.1</v>
      </c>
      <c r="C14" s="85">
        <v>3555.1</v>
      </c>
      <c r="D14" s="85">
        <v>3897.4</v>
      </c>
      <c r="E14" s="86">
        <f t="shared" si="1"/>
        <v>109.62842114145876</v>
      </c>
      <c r="F14" s="86">
        <v>187.82</v>
      </c>
      <c r="G14" s="30">
        <f>'[3]декабрь'!D14</f>
        <v>2733.2036000000003</v>
      </c>
      <c r="H14" s="48">
        <f t="shared" si="0"/>
        <v>142.59457290338707</v>
      </c>
      <c r="I14" s="30">
        <f>D14-ноябрь!D14</f>
        <v>432.4000000000001</v>
      </c>
    </row>
    <row r="15" spans="1:9" ht="37.5" customHeight="1">
      <c r="A15" s="56" t="s">
        <v>145</v>
      </c>
      <c r="B15" s="85">
        <v>52006.98</v>
      </c>
      <c r="C15" s="85">
        <v>52006.98</v>
      </c>
      <c r="D15" s="85">
        <v>52465.12</v>
      </c>
      <c r="E15" s="86">
        <f t="shared" si="1"/>
        <v>100.88092021494037</v>
      </c>
      <c r="F15" s="86"/>
      <c r="G15" s="30">
        <f>'[3]декабрь'!D15</f>
        <v>2149.38542</v>
      </c>
      <c r="H15" s="48">
        <f t="shared" si="0"/>
        <v>2440.9358838955927</v>
      </c>
      <c r="I15" s="30">
        <f>D15-ноябрь!D15</f>
        <v>538.2200000000012</v>
      </c>
    </row>
    <row r="16" spans="1:9" ht="39.75" customHeight="1">
      <c r="A16" s="58" t="s">
        <v>82</v>
      </c>
      <c r="B16" s="87">
        <f>SUM(B17:B20)</f>
        <v>61995.71000000001</v>
      </c>
      <c r="C16" s="87">
        <f>SUM(C17:C20)</f>
        <v>61995.71000000001</v>
      </c>
      <c r="D16" s="87">
        <f>SUM(D17:D20)+0.1</f>
        <v>64145.259999999995</v>
      </c>
      <c r="E16" s="86">
        <f t="shared" si="1"/>
        <v>103.46725604078087</v>
      </c>
      <c r="F16" s="86">
        <v>1853.18</v>
      </c>
      <c r="G16" s="30">
        <f>'[3]декабрь'!D16</f>
        <v>24564.84542</v>
      </c>
      <c r="H16" s="86">
        <f t="shared" si="0"/>
        <v>261.12625136966966</v>
      </c>
      <c r="I16" s="30">
        <f>D16-ноябрь!D16</f>
        <v>5275.459999999999</v>
      </c>
    </row>
    <row r="17" spans="1:9" ht="37.5" customHeight="1">
      <c r="A17" s="39" t="s">
        <v>83</v>
      </c>
      <c r="B17" s="82">
        <v>30942.59</v>
      </c>
      <c r="C17" s="82">
        <v>30942.59</v>
      </c>
      <c r="D17" s="82">
        <v>32156.42</v>
      </c>
      <c r="E17" s="86">
        <f t="shared" si="1"/>
        <v>103.92284550194408</v>
      </c>
      <c r="F17" s="86">
        <v>844.23</v>
      </c>
      <c r="G17" s="30">
        <f>'[3]декабрь'!D17</f>
        <v>11340.59643</v>
      </c>
      <c r="H17" s="48">
        <f t="shared" si="0"/>
        <v>283.55140047956013</v>
      </c>
      <c r="I17" s="30">
        <f>D17-ноябрь!D17</f>
        <v>2741.3199999999997</v>
      </c>
    </row>
    <row r="18" spans="1:9" ht="56.25" customHeight="1">
      <c r="A18" s="39" t="s">
        <v>84</v>
      </c>
      <c r="B18" s="82">
        <v>177.79</v>
      </c>
      <c r="C18" s="82">
        <v>177.79</v>
      </c>
      <c r="D18" s="82">
        <v>173.69</v>
      </c>
      <c r="E18" s="86">
        <f t="shared" si="1"/>
        <v>97.69390854378763</v>
      </c>
      <c r="F18" s="86">
        <v>5.74</v>
      </c>
      <c r="G18" s="30">
        <f>'[3]декабрь'!D18</f>
        <v>79.75536</v>
      </c>
      <c r="H18" s="48">
        <f t="shared" si="0"/>
        <v>217.7784665507121</v>
      </c>
      <c r="I18" s="30">
        <f>D18-ноябрь!D18</f>
        <v>10.990000000000009</v>
      </c>
    </row>
    <row r="19" spans="1:9" ht="55.5" customHeight="1">
      <c r="A19" s="39" t="s">
        <v>85</v>
      </c>
      <c r="B19" s="82">
        <v>34745.72</v>
      </c>
      <c r="C19" s="82">
        <v>34745.72</v>
      </c>
      <c r="D19" s="82">
        <v>35504.32</v>
      </c>
      <c r="E19" s="86">
        <f t="shared" si="1"/>
        <v>102.1832904887278</v>
      </c>
      <c r="F19" s="86">
        <v>1158.41</v>
      </c>
      <c r="G19" s="30">
        <f>'[3]декабрь'!D19</f>
        <v>15078.35645</v>
      </c>
      <c r="H19" s="48">
        <f t="shared" si="0"/>
        <v>235.46545087810284</v>
      </c>
      <c r="I19" s="30">
        <f>D19-ноябрь!D19</f>
        <v>2762.5200000000004</v>
      </c>
    </row>
    <row r="20" spans="1:9" ht="15.75" customHeight="1">
      <c r="A20" s="39" t="s">
        <v>86</v>
      </c>
      <c r="B20" s="82">
        <v>-3870.39</v>
      </c>
      <c r="C20" s="82">
        <v>-3870.39</v>
      </c>
      <c r="D20" s="82">
        <v>-3689.27</v>
      </c>
      <c r="E20" s="86">
        <f t="shared" si="1"/>
        <v>95.32036823162524</v>
      </c>
      <c r="F20" s="86">
        <v>-155.2</v>
      </c>
      <c r="G20" s="30">
        <f>'[3]декабрь'!D20</f>
        <v>-1933.86282</v>
      </c>
      <c r="H20" s="48">
        <f t="shared" si="0"/>
        <v>190.7720631394113</v>
      </c>
      <c r="I20" s="30">
        <f>D20-ноябрь!D20</f>
        <v>-239.3699999999999</v>
      </c>
    </row>
    <row r="21" spans="1:9" s="93" customFormat="1" ht="12.75">
      <c r="A21" s="59" t="s">
        <v>7</v>
      </c>
      <c r="B21" s="87">
        <f>SUM(B22:B25)</f>
        <v>133268.5</v>
      </c>
      <c r="C21" s="87">
        <f>SUM(C22:C25)</f>
        <v>133268.5</v>
      </c>
      <c r="D21" s="87">
        <f>SUM(D22:D25)</f>
        <v>141712.51</v>
      </c>
      <c r="E21" s="86">
        <f t="shared" si="1"/>
        <v>106.33608842299569</v>
      </c>
      <c r="F21" s="86">
        <v>7362.96</v>
      </c>
      <c r="G21" s="30">
        <f>'[3]декабрь'!D21</f>
        <v>129449.99458</v>
      </c>
      <c r="H21" s="86">
        <f t="shared" si="0"/>
        <v>109.47278171759349</v>
      </c>
      <c r="I21" s="30">
        <f>D21-ноябрь!D21</f>
        <v>12640.910000000003</v>
      </c>
    </row>
    <row r="22" spans="1:9" ht="28.5" customHeight="1">
      <c r="A22" s="56" t="s">
        <v>146</v>
      </c>
      <c r="B22" s="85">
        <v>110640.7</v>
      </c>
      <c r="C22" s="85">
        <v>110640.7</v>
      </c>
      <c r="D22" s="85">
        <v>112272</v>
      </c>
      <c r="E22" s="86">
        <f t="shared" si="1"/>
        <v>101.47441221901164</v>
      </c>
      <c r="F22" s="86"/>
      <c r="G22" s="30">
        <f>'[3]декабрь'!D22</f>
        <v>94935.82856000001</v>
      </c>
      <c r="H22" s="48">
        <f t="shared" si="0"/>
        <v>118.26093657469205</v>
      </c>
      <c r="I22" s="30">
        <f>D22-ноябрь!D22</f>
        <v>5293.199999999997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257.95</v>
      </c>
      <c r="E23" s="86">
        <v>0</v>
      </c>
      <c r="F23" s="86">
        <v>7198.75</v>
      </c>
      <c r="G23" s="30">
        <f>'[3]декабрь'!D23</f>
        <v>7438.26358</v>
      </c>
      <c r="H23" s="48">
        <f t="shared" si="0"/>
        <v>3.467879260067845</v>
      </c>
      <c r="I23" s="30">
        <f>D23-ноябрь!D23</f>
        <v>52.64999999999998</v>
      </c>
    </row>
    <row r="24" spans="1:9" ht="15" customHeight="1">
      <c r="A24" s="56" t="s">
        <v>87</v>
      </c>
      <c r="B24" s="85">
        <v>297</v>
      </c>
      <c r="C24" s="85">
        <v>297</v>
      </c>
      <c r="D24" s="85">
        <v>303.42</v>
      </c>
      <c r="E24" s="86">
        <f aca="true" t="shared" si="2" ref="E24:E35">$D:$D/$B:$B*100</f>
        <v>102.16161616161617</v>
      </c>
      <c r="F24" s="86">
        <v>113.58</v>
      </c>
      <c r="G24" s="30">
        <f>'[3]декабрь'!D24</f>
        <v>1304.34133</v>
      </c>
      <c r="H24" s="48">
        <f t="shared" si="0"/>
        <v>23.26231585408706</v>
      </c>
      <c r="I24" s="30">
        <f>D24-ноябрь!D24</f>
        <v>6.420000000000016</v>
      </c>
    </row>
    <row r="25" spans="1:9" ht="27" customHeight="1">
      <c r="A25" s="56" t="s">
        <v>88</v>
      </c>
      <c r="B25" s="85">
        <v>22330.8</v>
      </c>
      <c r="C25" s="85">
        <v>22330.8</v>
      </c>
      <c r="D25" s="85">
        <v>28879.14</v>
      </c>
      <c r="E25" s="86">
        <f t="shared" si="2"/>
        <v>129.3242517061637</v>
      </c>
      <c r="F25" s="86">
        <v>50.63</v>
      </c>
      <c r="G25" s="30">
        <f>'[3]декабрь'!D25</f>
        <v>25771.56111</v>
      </c>
      <c r="H25" s="48">
        <f t="shared" si="0"/>
        <v>112.05817093010397</v>
      </c>
      <c r="I25" s="30">
        <f>D25-ноябрь!D25</f>
        <v>7288.639999999999</v>
      </c>
    </row>
    <row r="26" spans="1:9" ht="12.75">
      <c r="A26" s="59" t="s">
        <v>8</v>
      </c>
      <c r="B26" s="87">
        <f>SUM(B27:B28)</f>
        <v>40585.7</v>
      </c>
      <c r="C26" s="87">
        <f>SUM(C27:C28)</f>
        <v>40585.7</v>
      </c>
      <c r="D26" s="87">
        <f>SUM(D27:D28)+0.1</f>
        <v>42383.42</v>
      </c>
      <c r="E26" s="86">
        <f t="shared" si="2"/>
        <v>104.42944189702285</v>
      </c>
      <c r="F26" s="86">
        <v>2465.82</v>
      </c>
      <c r="G26" s="30">
        <f>'[3]декабрь'!D26</f>
        <v>38633.31844</v>
      </c>
      <c r="H26" s="86">
        <f t="shared" si="0"/>
        <v>109.70691028218076</v>
      </c>
      <c r="I26" s="30">
        <f>D26-ноябрь!D26</f>
        <v>8167.220000000001</v>
      </c>
    </row>
    <row r="27" spans="1:9" ht="12.75">
      <c r="A27" s="56" t="s">
        <v>106</v>
      </c>
      <c r="B27" s="82">
        <v>23253.6</v>
      </c>
      <c r="C27" s="82">
        <v>23253.6</v>
      </c>
      <c r="D27" s="82">
        <v>24479.44</v>
      </c>
      <c r="E27" s="86">
        <f t="shared" si="2"/>
        <v>105.27161385763925</v>
      </c>
      <c r="F27" s="86">
        <v>536.1</v>
      </c>
      <c r="G27" s="30">
        <f>'[3]декабрь'!D27</f>
        <v>21423.70101</v>
      </c>
      <c r="H27" s="48">
        <f t="shared" si="0"/>
        <v>114.26335715091274</v>
      </c>
      <c r="I27" s="30">
        <f>D27-ноябрь!D27</f>
        <v>5537.939999999999</v>
      </c>
    </row>
    <row r="28" spans="1:9" ht="12.75">
      <c r="A28" s="56" t="s">
        <v>107</v>
      </c>
      <c r="B28" s="82">
        <v>17332.1</v>
      </c>
      <c r="C28" s="82">
        <v>17332.1</v>
      </c>
      <c r="D28" s="82">
        <v>17903.88</v>
      </c>
      <c r="E28" s="86">
        <f t="shared" si="2"/>
        <v>103.29896550331468</v>
      </c>
      <c r="F28" s="86">
        <v>1929.72</v>
      </c>
      <c r="G28" s="30">
        <f>'[3]декабрь'!D28</f>
        <v>17209.61743</v>
      </c>
      <c r="H28" s="48">
        <f t="shared" si="0"/>
        <v>104.03415458143628</v>
      </c>
      <c r="I28" s="30">
        <f>D28-ноябрь!D28</f>
        <v>2629.2800000000007</v>
      </c>
    </row>
    <row r="29" spans="1:9" ht="12.75">
      <c r="A29" s="52" t="s">
        <v>9</v>
      </c>
      <c r="B29" s="87">
        <f>SUM(B30:B32)</f>
        <v>17000</v>
      </c>
      <c r="C29" s="87">
        <f>SUM(C30:C32)</f>
        <v>17000</v>
      </c>
      <c r="D29" s="87">
        <f>SUM(D30:D32)</f>
        <v>18560.71</v>
      </c>
      <c r="E29" s="86">
        <f t="shared" si="2"/>
        <v>109.18064705882354</v>
      </c>
      <c r="F29" s="86">
        <v>793.07</v>
      </c>
      <c r="G29" s="30">
        <f>'[3]декабрь'!D29</f>
        <v>15549.90025</v>
      </c>
      <c r="H29" s="86">
        <f t="shared" si="0"/>
        <v>119.36224478353164</v>
      </c>
      <c r="I29" s="30">
        <f>D29-ноябрь!D29</f>
        <v>2151.8099999999977</v>
      </c>
    </row>
    <row r="30" spans="1:9" ht="25.5">
      <c r="A30" s="56" t="s">
        <v>10</v>
      </c>
      <c r="B30" s="85">
        <v>16862.8</v>
      </c>
      <c r="C30" s="85">
        <v>16862.8</v>
      </c>
      <c r="D30" s="85">
        <v>18425.11</v>
      </c>
      <c r="E30" s="86">
        <f t="shared" si="2"/>
        <v>109.26483146333943</v>
      </c>
      <c r="F30" s="86">
        <v>793.07</v>
      </c>
      <c r="G30" s="30">
        <f>'[3]декабрь'!D30</f>
        <v>15384.70025</v>
      </c>
      <c r="H30" s="48">
        <f t="shared" si="0"/>
        <v>119.76255435980951</v>
      </c>
      <c r="I30" s="30">
        <f>D30-ноябрь!D30</f>
        <v>2148.6100000000006</v>
      </c>
    </row>
    <row r="31" spans="1:9" ht="25.5">
      <c r="A31" s="56" t="s">
        <v>91</v>
      </c>
      <c r="B31" s="85">
        <v>67.2</v>
      </c>
      <c r="C31" s="85">
        <v>67.2</v>
      </c>
      <c r="D31" s="85">
        <v>65.6</v>
      </c>
      <c r="E31" s="86">
        <f t="shared" si="2"/>
        <v>97.6190476190476</v>
      </c>
      <c r="F31" s="86">
        <v>0</v>
      </c>
      <c r="G31" s="30">
        <f>'[3]декабрь'!D31</f>
        <v>90</v>
      </c>
      <c r="H31" s="48">
        <f t="shared" si="0"/>
        <v>72.88888888888889</v>
      </c>
      <c r="I31" s="30">
        <f>D31-ноябрь!D31</f>
        <v>3.1999999999999957</v>
      </c>
    </row>
    <row r="32" spans="1:9" ht="25.5">
      <c r="A32" s="56" t="s">
        <v>90</v>
      </c>
      <c r="B32" s="85">
        <v>70</v>
      </c>
      <c r="C32" s="85">
        <v>70</v>
      </c>
      <c r="D32" s="85">
        <v>70</v>
      </c>
      <c r="E32" s="86">
        <f t="shared" si="2"/>
        <v>100</v>
      </c>
      <c r="F32" s="86">
        <v>0</v>
      </c>
      <c r="G32" s="30">
        <f>'[3]декабрь'!D32</f>
        <v>75.2</v>
      </c>
      <c r="H32" s="48">
        <f t="shared" si="0"/>
        <v>93.08510638297872</v>
      </c>
      <c r="I32" s="30">
        <f>D32-ноябрь!D32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 t="shared" si="2"/>
        <v>#DIV/0!</v>
      </c>
      <c r="F33" s="86">
        <v>0</v>
      </c>
      <c r="G33" s="30">
        <f>'[3]декабрь'!D33</f>
        <v>16.69433</v>
      </c>
      <c r="H33" s="48">
        <f t="shared" si="0"/>
        <v>0.1198011540445169</v>
      </c>
      <c r="I33" s="30">
        <f>D33-ноябрь!D33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 t="shared" si="2"/>
        <v>#DIV/0!</v>
      </c>
      <c r="F34" s="86">
        <v>0</v>
      </c>
      <c r="G34" s="30">
        <f>'[3]декабрь'!D34</f>
        <v>14.79767</v>
      </c>
      <c r="H34" s="48">
        <f t="shared" si="0"/>
        <v>0.1351564131380143</v>
      </c>
      <c r="I34" s="30">
        <f>D34-ноябрь!D34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 t="shared" si="2"/>
        <v>#DIV/0!</v>
      </c>
      <c r="F35" s="86">
        <v>0</v>
      </c>
      <c r="G35" s="30">
        <f>'[3]декабрь'!D35</f>
        <v>1.89666</v>
      </c>
      <c r="H35" s="48">
        <f t="shared" si="0"/>
        <v>0</v>
      </c>
      <c r="I35" s="30">
        <f>D35-ноябрь!D35</f>
        <v>0</v>
      </c>
    </row>
    <row r="36" spans="1:9" ht="39.75" customHeight="1">
      <c r="A36" s="59" t="s">
        <v>12</v>
      </c>
      <c r="B36" s="87">
        <f>SUM(B38:B44)</f>
        <v>51277.130000000005</v>
      </c>
      <c r="C36" s="87">
        <f>SUM(C38:C44)</f>
        <v>51277.130000000005</v>
      </c>
      <c r="D36" s="87">
        <f>SUM(D38:D44)</f>
        <v>52492.149999999994</v>
      </c>
      <c r="E36" s="86">
        <f aca="true" t="shared" si="3" ref="E36:E47">$D:$D/$B:$B*100</f>
        <v>102.3695163906404</v>
      </c>
      <c r="F36" s="86">
        <v>3247.05</v>
      </c>
      <c r="G36" s="30">
        <f>'[3]декабрь'!D36</f>
        <v>65486.01154000001</v>
      </c>
      <c r="H36" s="86">
        <f aca="true" t="shared" si="4" ref="H36:H48">$D:$D/$G:$G*100</f>
        <v>80.15780586658093</v>
      </c>
      <c r="I36" s="30">
        <f>D36-ноябрь!D36</f>
        <v>5270.049999999996</v>
      </c>
    </row>
    <row r="37" spans="1:9" ht="81.75" customHeight="1" hidden="1">
      <c r="A37" s="56" t="s">
        <v>114</v>
      </c>
      <c r="B37" s="85"/>
      <c r="C37" s="85"/>
      <c r="D37" s="85"/>
      <c r="E37" s="86" t="e">
        <f t="shared" si="3"/>
        <v>#DIV/0!</v>
      </c>
      <c r="F37" s="86"/>
      <c r="G37" s="30">
        <f>'[3]декабрь'!D37</f>
        <v>0</v>
      </c>
      <c r="H37" s="48" t="e">
        <f t="shared" si="4"/>
        <v>#DIV/0!</v>
      </c>
      <c r="I37" s="30">
        <f>D37-ноябрь!D37</f>
        <v>0</v>
      </c>
    </row>
    <row r="38" spans="1:9" ht="76.5">
      <c r="A38" s="56" t="s">
        <v>117</v>
      </c>
      <c r="B38" s="85">
        <v>27400</v>
      </c>
      <c r="C38" s="85">
        <v>27400</v>
      </c>
      <c r="D38" s="85">
        <v>28487.5</v>
      </c>
      <c r="E38" s="86">
        <f t="shared" si="3"/>
        <v>103.9689781021898</v>
      </c>
      <c r="F38" s="86">
        <v>2393.3</v>
      </c>
      <c r="G38" s="30">
        <f>'[3]декабрь'!D38</f>
        <v>41930.901450000005</v>
      </c>
      <c r="H38" s="48">
        <f t="shared" si="4"/>
        <v>67.93915469232059</v>
      </c>
      <c r="I38" s="30">
        <f>D38-ноябрь!D38</f>
        <v>3215.7000000000007</v>
      </c>
    </row>
    <row r="39" spans="1:9" ht="76.5">
      <c r="A39" s="56" t="s">
        <v>125</v>
      </c>
      <c r="B39" s="85">
        <v>5449.36</v>
      </c>
      <c r="C39" s="85">
        <v>5449.36</v>
      </c>
      <c r="D39" s="85">
        <v>5585.86</v>
      </c>
      <c r="E39" s="86">
        <f t="shared" si="3"/>
        <v>102.50488130716266</v>
      </c>
      <c r="F39" s="86">
        <v>75.44</v>
      </c>
      <c r="G39" s="30">
        <f>'[3]декабрь'!D39</f>
        <v>1256.48263</v>
      </c>
      <c r="H39" s="48">
        <f t="shared" si="4"/>
        <v>444.5632487573664</v>
      </c>
      <c r="I39" s="30">
        <f>D39-ноябрь!D39</f>
        <v>465.8599999999997</v>
      </c>
    </row>
    <row r="40" spans="1:9" ht="76.5">
      <c r="A40" s="56" t="s">
        <v>118</v>
      </c>
      <c r="B40" s="85">
        <v>440.91</v>
      </c>
      <c r="C40" s="85">
        <v>440.91</v>
      </c>
      <c r="D40" s="85">
        <v>468.57</v>
      </c>
      <c r="E40" s="86">
        <f t="shared" si="3"/>
        <v>106.27338912703273</v>
      </c>
      <c r="F40" s="86">
        <v>3.43</v>
      </c>
      <c r="G40" s="30">
        <f>'[3]декабрь'!D40</f>
        <v>418.54062</v>
      </c>
      <c r="H40" s="48">
        <f t="shared" si="4"/>
        <v>111.95329141529919</v>
      </c>
      <c r="I40" s="30">
        <f>D40-ноябрь!D40</f>
        <v>31.170000000000016</v>
      </c>
    </row>
    <row r="41" spans="1:9" ht="38.25">
      <c r="A41" s="56" t="s">
        <v>119</v>
      </c>
      <c r="B41" s="85">
        <v>13945</v>
      </c>
      <c r="C41" s="85">
        <v>13945</v>
      </c>
      <c r="D41" s="85">
        <v>13982.05</v>
      </c>
      <c r="E41" s="86">
        <f t="shared" si="3"/>
        <v>100.26568662603084</v>
      </c>
      <c r="F41" s="86">
        <v>538.73</v>
      </c>
      <c r="G41" s="30">
        <f>'[3]декабрь'!D41</f>
        <v>14335.89048</v>
      </c>
      <c r="H41" s="48">
        <f t="shared" si="4"/>
        <v>97.53178583155582</v>
      </c>
      <c r="I41" s="30">
        <f>D41-ноябрь!D41</f>
        <v>1133.75</v>
      </c>
    </row>
    <row r="42" spans="1:9" ht="51">
      <c r="A42" s="56" t="s">
        <v>147</v>
      </c>
      <c r="B42" s="85">
        <v>64.24</v>
      </c>
      <c r="C42" s="85">
        <v>64.24</v>
      </c>
      <c r="D42" s="85">
        <v>62.59</v>
      </c>
      <c r="E42" s="86">
        <f t="shared" si="3"/>
        <v>97.43150684931508</v>
      </c>
      <c r="F42" s="86"/>
      <c r="G42" s="30">
        <f>'[3]декабрь'!D42</f>
        <v>77.52887</v>
      </c>
      <c r="H42" s="48">
        <f t="shared" si="4"/>
        <v>80.73121664226501</v>
      </c>
      <c r="I42" s="30">
        <f>D42-ноябрь!D42</f>
        <v>1.7900000000000063</v>
      </c>
    </row>
    <row r="43" spans="1:9" ht="51">
      <c r="A43" s="56" t="s">
        <v>120</v>
      </c>
      <c r="B43" s="85">
        <v>477.62</v>
      </c>
      <c r="C43" s="85">
        <v>477.62</v>
      </c>
      <c r="D43" s="85">
        <v>477.62</v>
      </c>
      <c r="E43" s="86">
        <f t="shared" si="3"/>
        <v>100</v>
      </c>
      <c r="F43" s="86">
        <v>0</v>
      </c>
      <c r="G43" s="30">
        <f>'[3]декабрь'!D43</f>
        <v>2879.9513500000003</v>
      </c>
      <c r="H43" s="48">
        <f t="shared" si="4"/>
        <v>16.584307925896038</v>
      </c>
      <c r="I43" s="30">
        <f>D43-ноябрь!D43</f>
        <v>0.01999999999998181</v>
      </c>
    </row>
    <row r="44" spans="1:9" ht="76.5">
      <c r="A44" s="60" t="s">
        <v>121</v>
      </c>
      <c r="B44" s="85">
        <v>3500</v>
      </c>
      <c r="C44" s="85">
        <v>3500</v>
      </c>
      <c r="D44" s="85">
        <v>3427.96</v>
      </c>
      <c r="E44" s="86">
        <f t="shared" si="3"/>
        <v>97.94171428571428</v>
      </c>
      <c r="F44" s="86">
        <v>236.15</v>
      </c>
      <c r="G44" s="30">
        <f>'[3]декабрь'!D44</f>
        <v>4586.7161399999995</v>
      </c>
      <c r="H44" s="48">
        <f t="shared" si="4"/>
        <v>74.73669386481806</v>
      </c>
      <c r="I44" s="30">
        <f>D44-ноябрь!D44</f>
        <v>421.7600000000002</v>
      </c>
    </row>
    <row r="45" spans="1:9" ht="27" customHeight="1">
      <c r="A45" s="53" t="s">
        <v>13</v>
      </c>
      <c r="B45" s="87">
        <v>2779.7</v>
      </c>
      <c r="C45" s="87">
        <v>2779.7</v>
      </c>
      <c r="D45" s="87">
        <v>3379.35</v>
      </c>
      <c r="E45" s="86">
        <f t="shared" si="3"/>
        <v>121.57247184948017</v>
      </c>
      <c r="F45" s="86">
        <v>43.6</v>
      </c>
      <c r="G45" s="30">
        <f>'[3]декабрь'!D45</f>
        <v>627.56034</v>
      </c>
      <c r="H45" s="86">
        <f t="shared" si="4"/>
        <v>538.4900518092013</v>
      </c>
      <c r="I45" s="30">
        <f>D45-ноябрь!D45</f>
        <v>2743.6499999999996</v>
      </c>
    </row>
    <row r="46" spans="1:9" ht="25.5">
      <c r="A46" s="53" t="s">
        <v>96</v>
      </c>
      <c r="B46" s="87">
        <v>11495.2</v>
      </c>
      <c r="C46" s="87">
        <v>11495.2</v>
      </c>
      <c r="D46" s="87">
        <v>11559.13</v>
      </c>
      <c r="E46" s="86">
        <f t="shared" si="3"/>
        <v>100.55614517363769</v>
      </c>
      <c r="F46" s="86">
        <v>561.58</v>
      </c>
      <c r="G46" s="30">
        <f>'[3]декабрь'!D46</f>
        <v>2466.0608199999997</v>
      </c>
      <c r="H46" s="86">
        <f t="shared" si="4"/>
        <v>468.7285044332362</v>
      </c>
      <c r="I46" s="30">
        <f>D46-ноябрь!D46</f>
        <v>1303.83</v>
      </c>
    </row>
    <row r="47" spans="1:9" ht="25.5">
      <c r="A47" s="59" t="s">
        <v>14</v>
      </c>
      <c r="B47" s="87">
        <f>SUM(B48:B50)</f>
        <v>3000</v>
      </c>
      <c r="C47" s="87">
        <f>SUM(C48:C50)</f>
        <v>3000</v>
      </c>
      <c r="D47" s="87">
        <f>SUM(D48:D50)</f>
        <v>5465.76</v>
      </c>
      <c r="E47" s="86">
        <f t="shared" si="3"/>
        <v>182.192</v>
      </c>
      <c r="F47" s="86">
        <v>585.5</v>
      </c>
      <c r="G47" s="30">
        <f>'[3]декабрь'!D47</f>
        <v>6832.627710000001</v>
      </c>
      <c r="H47" s="86">
        <f t="shared" si="4"/>
        <v>79.99499214629388</v>
      </c>
      <c r="I47" s="30">
        <f>D47-ноябрь!D47</f>
        <v>2569.36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30">
        <f>'[3]декабрь'!D48</f>
        <v>52.69</v>
      </c>
      <c r="H48" s="48">
        <f t="shared" si="4"/>
        <v>0</v>
      </c>
      <c r="I48" s="30">
        <f>D48-ноябрь!D48</f>
        <v>0</v>
      </c>
    </row>
    <row r="49" spans="1:9" ht="76.5">
      <c r="A49" s="56" t="s">
        <v>95</v>
      </c>
      <c r="B49" s="85">
        <v>0</v>
      </c>
      <c r="C49" s="85">
        <v>0</v>
      </c>
      <c r="D49" s="85">
        <v>0</v>
      </c>
      <c r="E49" s="86">
        <v>0</v>
      </c>
      <c r="F49" s="86">
        <v>37.14</v>
      </c>
      <c r="G49" s="30">
        <f>'[3]декабрь'!D49</f>
        <v>1497.245</v>
      </c>
      <c r="H49" s="48">
        <v>0</v>
      </c>
      <c r="I49" s="30">
        <f>D49-ноябрь!D49</f>
        <v>0</v>
      </c>
    </row>
    <row r="50" spans="1:9" ht="14.25" customHeight="1">
      <c r="A50" s="60" t="s">
        <v>93</v>
      </c>
      <c r="B50" s="85">
        <v>3000</v>
      </c>
      <c r="C50" s="85">
        <v>3000</v>
      </c>
      <c r="D50" s="85">
        <v>5465.76</v>
      </c>
      <c r="E50" s="86">
        <f aca="true" t="shared" si="5" ref="E50:E72">$D:$D/$B:$B*100</f>
        <v>182.192</v>
      </c>
      <c r="F50" s="86">
        <v>548.36</v>
      </c>
      <c r="G50" s="30">
        <f>'[3]декабрь'!$D$61</f>
        <v>5282.69271</v>
      </c>
      <c r="H50" s="48">
        <f aca="true" t="shared" si="6" ref="H50:H69">$D:$D/$G:$G*100</f>
        <v>103.46541621952493</v>
      </c>
      <c r="I50" s="30">
        <f>D50-ноябрь!D50</f>
        <v>2569.36</v>
      </c>
    </row>
    <row r="51" spans="1:9" ht="12.75">
      <c r="A51" s="53" t="s">
        <v>15</v>
      </c>
      <c r="B51" s="85">
        <v>6006.33</v>
      </c>
      <c r="C51" s="85">
        <v>6006.33</v>
      </c>
      <c r="D51" s="85">
        <v>14157.34</v>
      </c>
      <c r="E51" s="86">
        <f t="shared" si="5"/>
        <v>235.70699578611234</v>
      </c>
      <c r="F51" s="86">
        <v>179.73</v>
      </c>
      <c r="G51" s="30">
        <f>'[3]декабрь'!$D$63</f>
        <v>9481.3806</v>
      </c>
      <c r="H51" s="86">
        <f t="shared" si="6"/>
        <v>149.31728402507122</v>
      </c>
      <c r="I51" s="30">
        <f>D51-ноябрь!D51</f>
        <v>8448.04</v>
      </c>
    </row>
    <row r="52" spans="1:9" ht="63.75" hidden="1">
      <c r="A52" s="56" t="s">
        <v>126</v>
      </c>
      <c r="B52" s="85">
        <v>20</v>
      </c>
      <c r="C52" s="85">
        <v>20</v>
      </c>
      <c r="D52" s="85"/>
      <c r="E52" s="86">
        <f t="shared" si="5"/>
        <v>0</v>
      </c>
      <c r="F52" s="86"/>
      <c r="G52" s="30">
        <f>'[3]декабрь'!D52</f>
        <v>0</v>
      </c>
      <c r="H52" s="48" t="e">
        <f t="shared" si="6"/>
        <v>#DIV/0!</v>
      </c>
      <c r="I52" s="30">
        <f>D52-ноябрь!D52</f>
        <v>0</v>
      </c>
    </row>
    <row r="53" spans="1:9" ht="89.25" hidden="1">
      <c r="A53" s="56" t="s">
        <v>127</v>
      </c>
      <c r="B53" s="85">
        <v>20</v>
      </c>
      <c r="C53" s="85">
        <v>20</v>
      </c>
      <c r="D53" s="85"/>
      <c r="E53" s="86">
        <f t="shared" si="5"/>
        <v>0</v>
      </c>
      <c r="F53" s="86"/>
      <c r="G53" s="30">
        <f>'[3]декабрь'!D53</f>
        <v>0</v>
      </c>
      <c r="H53" s="48" t="e">
        <f t="shared" si="6"/>
        <v>#DIV/0!</v>
      </c>
      <c r="I53" s="30">
        <f>D53-ноябрь!D53</f>
        <v>0</v>
      </c>
    </row>
    <row r="54" spans="1:9" ht="63.75" hidden="1">
      <c r="A54" s="56" t="s">
        <v>128</v>
      </c>
      <c r="B54" s="85">
        <v>20</v>
      </c>
      <c r="C54" s="85">
        <v>20</v>
      </c>
      <c r="D54" s="85"/>
      <c r="E54" s="86">
        <f t="shared" si="5"/>
        <v>0</v>
      </c>
      <c r="F54" s="86"/>
      <c r="G54" s="30">
        <f>'[3]декабрь'!D54</f>
        <v>0</v>
      </c>
      <c r="H54" s="48" t="e">
        <f t="shared" si="6"/>
        <v>#DIV/0!</v>
      </c>
      <c r="I54" s="30">
        <f>D54-ноябрь!D54</f>
        <v>0</v>
      </c>
    </row>
    <row r="55" spans="1:9" ht="29.25" customHeight="1" hidden="1">
      <c r="A55" s="56" t="s">
        <v>129</v>
      </c>
      <c r="B55" s="85">
        <v>20</v>
      </c>
      <c r="C55" s="85">
        <v>20</v>
      </c>
      <c r="D55" s="85"/>
      <c r="E55" s="86">
        <f t="shared" si="5"/>
        <v>0</v>
      </c>
      <c r="F55" s="86"/>
      <c r="G55" s="30">
        <f>'[3]декабрь'!D55</f>
        <v>0</v>
      </c>
      <c r="H55" s="48" t="e">
        <f t="shared" si="6"/>
        <v>#DIV/0!</v>
      </c>
      <c r="I55" s="30">
        <f>D55-ноябрь!D55</f>
        <v>0</v>
      </c>
    </row>
    <row r="56" spans="1:9" ht="38.25" customHeight="1" hidden="1">
      <c r="A56" s="56" t="s">
        <v>130</v>
      </c>
      <c r="B56" s="85">
        <v>20</v>
      </c>
      <c r="C56" s="85">
        <v>20</v>
      </c>
      <c r="D56" s="85"/>
      <c r="E56" s="86">
        <f t="shared" si="5"/>
        <v>0</v>
      </c>
      <c r="F56" s="86"/>
      <c r="G56" s="30">
        <f>'[3]декабрь'!D56</f>
        <v>0</v>
      </c>
      <c r="H56" s="48" t="e">
        <f t="shared" si="6"/>
        <v>#DIV/0!</v>
      </c>
      <c r="I56" s="30">
        <f>D56-ноябрь!D56</f>
        <v>0</v>
      </c>
    </row>
    <row r="57" spans="1:9" ht="43.5" customHeight="1" hidden="1">
      <c r="A57" s="56" t="s">
        <v>131</v>
      </c>
      <c r="B57" s="85">
        <v>20</v>
      </c>
      <c r="C57" s="85">
        <v>20</v>
      </c>
      <c r="D57" s="85"/>
      <c r="E57" s="86">
        <f t="shared" si="5"/>
        <v>0</v>
      </c>
      <c r="F57" s="86"/>
      <c r="G57" s="30">
        <f>'[3]декабрь'!D57</f>
        <v>0</v>
      </c>
      <c r="H57" s="48" t="e">
        <f t="shared" si="6"/>
        <v>#DIV/0!</v>
      </c>
      <c r="I57" s="30">
        <f>D57-ноябрь!D57</f>
        <v>0</v>
      </c>
    </row>
    <row r="58" spans="1:9" ht="40.5" customHeight="1" hidden="1">
      <c r="A58" s="56" t="s">
        <v>132</v>
      </c>
      <c r="B58" s="85">
        <v>20</v>
      </c>
      <c r="C58" s="85">
        <v>20</v>
      </c>
      <c r="D58" s="85"/>
      <c r="E58" s="86">
        <f t="shared" si="5"/>
        <v>0</v>
      </c>
      <c r="F58" s="86"/>
      <c r="G58" s="30">
        <f>'[3]декабрь'!D58</f>
        <v>0</v>
      </c>
      <c r="H58" s="48" t="e">
        <f t="shared" si="6"/>
        <v>#DIV/0!</v>
      </c>
      <c r="I58" s="30">
        <f>D58-ноябрь!D58</f>
        <v>0</v>
      </c>
    </row>
    <row r="59" spans="1:9" ht="51" hidden="1">
      <c r="A59" s="56" t="s">
        <v>133</v>
      </c>
      <c r="B59" s="85">
        <v>20</v>
      </c>
      <c r="C59" s="85">
        <v>20</v>
      </c>
      <c r="D59" s="85"/>
      <c r="E59" s="86">
        <f t="shared" si="5"/>
        <v>0</v>
      </c>
      <c r="F59" s="86"/>
      <c r="G59" s="30">
        <f>'[3]декабрь'!D59</f>
        <v>0</v>
      </c>
      <c r="H59" s="48" t="e">
        <f t="shared" si="6"/>
        <v>#DIV/0!</v>
      </c>
      <c r="I59" s="30">
        <f>D59-ноябрь!D59</f>
        <v>0</v>
      </c>
    </row>
    <row r="60" spans="1:9" ht="76.5" hidden="1">
      <c r="A60" s="56" t="s">
        <v>134</v>
      </c>
      <c r="B60" s="85">
        <v>20</v>
      </c>
      <c r="C60" s="85">
        <v>20</v>
      </c>
      <c r="D60" s="85"/>
      <c r="E60" s="86">
        <f t="shared" si="5"/>
        <v>0</v>
      </c>
      <c r="F60" s="86"/>
      <c r="G60" s="30">
        <f>'[3]декабрь'!D60</f>
        <v>0</v>
      </c>
      <c r="H60" s="48" t="e">
        <f t="shared" si="6"/>
        <v>#DIV/0!</v>
      </c>
      <c r="I60" s="30">
        <f>D60-ноябрь!D60</f>
        <v>0</v>
      </c>
    </row>
    <row r="61" spans="1:9" ht="12.75" hidden="1">
      <c r="A61" s="56" t="s">
        <v>135</v>
      </c>
      <c r="B61" s="85">
        <v>20</v>
      </c>
      <c r="C61" s="85">
        <v>20</v>
      </c>
      <c r="D61" s="85"/>
      <c r="E61" s="86">
        <f t="shared" si="5"/>
        <v>0</v>
      </c>
      <c r="F61" s="86"/>
      <c r="G61" s="30">
        <f>'[3]декабрь'!D61</f>
        <v>5282.69271</v>
      </c>
      <c r="H61" s="48">
        <f t="shared" si="6"/>
        <v>0</v>
      </c>
      <c r="I61" s="30">
        <f>D61-ноябрь!D61</f>
        <v>0</v>
      </c>
    </row>
    <row r="62" spans="1:9" ht="12.75">
      <c r="A62" s="52" t="s">
        <v>16</v>
      </c>
      <c r="B62" s="85">
        <v>28.63</v>
      </c>
      <c r="C62" s="85">
        <v>28.63</v>
      </c>
      <c r="D62" s="85">
        <v>1125.76</v>
      </c>
      <c r="E62" s="86">
        <f t="shared" si="5"/>
        <v>3932.0991966468737</v>
      </c>
      <c r="F62" s="86">
        <v>-38.79</v>
      </c>
      <c r="G62" s="30">
        <f>'[3]декабрь'!$D$64</f>
        <v>40.30281</v>
      </c>
      <c r="H62" s="86">
        <f t="shared" si="6"/>
        <v>2793.254366134768</v>
      </c>
      <c r="I62" s="30">
        <f>D62-ноябрь!D62</f>
        <v>992.56</v>
      </c>
    </row>
    <row r="63" spans="1:9" ht="12.75">
      <c r="A63" s="59" t="s">
        <v>17</v>
      </c>
      <c r="B63" s="87">
        <f>B62+B51+B47+B46+B45+B36+B29+B26+B21+B16+B8</f>
        <v>708978.45</v>
      </c>
      <c r="C63" s="87">
        <f>C62+C51+C47+C46+C45+C36+C29+C26+C21+C16+C8</f>
        <v>708978.45</v>
      </c>
      <c r="D63" s="87">
        <f>D62+D51+D47+D46+D45+D36+D29+D26+D21+D16+D8</f>
        <v>750547.68</v>
      </c>
      <c r="E63" s="86">
        <f t="shared" si="5"/>
        <v>105.86325719773288</v>
      </c>
      <c r="F63" s="86">
        <v>27699.089999999997</v>
      </c>
      <c r="G63" s="30">
        <f>'[3]декабрь'!$D$65</f>
        <v>598872.4091000002</v>
      </c>
      <c r="H63" s="86">
        <f t="shared" si="6"/>
        <v>125.32680894882786</v>
      </c>
      <c r="I63" s="30">
        <f>D63-ноябрь!D63</f>
        <v>115974.57999999996</v>
      </c>
    </row>
    <row r="64" spans="1:9" ht="12.75">
      <c r="A64" s="59" t="s">
        <v>18</v>
      </c>
      <c r="B64" s="87">
        <f>B65+B70+B71</f>
        <v>3661400.96</v>
      </c>
      <c r="C64" s="87">
        <f>C65+C70+C71</f>
        <v>3661400.96</v>
      </c>
      <c r="D64" s="87">
        <f>D65+D70+D71</f>
        <v>3452792.3299999996</v>
      </c>
      <c r="E64" s="86">
        <f t="shared" si="5"/>
        <v>94.30249152499265</v>
      </c>
      <c r="F64" s="86">
        <v>43822.57000000001</v>
      </c>
      <c r="G64" s="87">
        <f>'[3]декабрь'!D66</f>
        <v>2458871.80811</v>
      </c>
      <c r="H64" s="86">
        <f t="shared" si="6"/>
        <v>140.42181127994516</v>
      </c>
      <c r="I64" s="30">
        <f>D64-ноябрь!D64</f>
        <v>632124.0299999993</v>
      </c>
    </row>
    <row r="65" spans="1:9" ht="25.5">
      <c r="A65" s="59" t="s">
        <v>19</v>
      </c>
      <c r="B65" s="87">
        <f>SUM(B66:B69)</f>
        <v>3680769.14</v>
      </c>
      <c r="C65" s="87">
        <f>SUM(C66:C69)</f>
        <v>3680769.14</v>
      </c>
      <c r="D65" s="87">
        <f>SUM(D66:D69)</f>
        <v>3472160.51</v>
      </c>
      <c r="E65" s="86">
        <f t="shared" si="5"/>
        <v>94.3324717724622</v>
      </c>
      <c r="F65" s="86">
        <v>46091.770000000004</v>
      </c>
      <c r="G65" s="30">
        <v>1826017.8</v>
      </c>
      <c r="H65" s="86">
        <f t="shared" si="6"/>
        <v>190.1493243932233</v>
      </c>
      <c r="I65" s="30">
        <f>D65-ноябрь!D65</f>
        <v>633119.3099999996</v>
      </c>
    </row>
    <row r="66" spans="1:9" ht="12.75">
      <c r="A66" s="56" t="s">
        <v>108</v>
      </c>
      <c r="B66" s="85">
        <v>582119.3</v>
      </c>
      <c r="C66" s="85">
        <v>582119.3</v>
      </c>
      <c r="D66" s="85">
        <v>582119.3</v>
      </c>
      <c r="E66" s="86">
        <f t="shared" si="5"/>
        <v>100</v>
      </c>
      <c r="F66" s="86">
        <v>15902.8</v>
      </c>
      <c r="G66" s="82">
        <v>416365.7</v>
      </c>
      <c r="H66" s="48">
        <f t="shared" si="6"/>
        <v>139.80961928420137</v>
      </c>
      <c r="I66" s="30">
        <f>D66-ноябрь!D66</f>
        <v>46422.70000000007</v>
      </c>
    </row>
    <row r="67" spans="1:9" ht="12.75" customHeight="1">
      <c r="A67" s="56" t="s">
        <v>109</v>
      </c>
      <c r="B67" s="85">
        <v>1789959.73</v>
      </c>
      <c r="C67" s="85">
        <v>1789959.73</v>
      </c>
      <c r="D67" s="85">
        <v>1591048.25</v>
      </c>
      <c r="E67" s="86">
        <f t="shared" si="5"/>
        <v>88.88737681266159</v>
      </c>
      <c r="F67" s="86">
        <v>0</v>
      </c>
      <c r="G67" s="82">
        <v>491421.7</v>
      </c>
      <c r="H67" s="48">
        <f t="shared" si="6"/>
        <v>323.7643453677361</v>
      </c>
      <c r="I67" s="30">
        <f>D67-ноябрь!D67</f>
        <v>360701.8500000001</v>
      </c>
    </row>
    <row r="68" spans="1:9" ht="18.75" customHeight="1">
      <c r="A68" s="56" t="s">
        <v>110</v>
      </c>
      <c r="B68" s="85">
        <v>1232228.47</v>
      </c>
      <c r="C68" s="85">
        <v>1232228.47</v>
      </c>
      <c r="D68" s="85">
        <v>1224598.72</v>
      </c>
      <c r="E68" s="86">
        <f t="shared" si="5"/>
        <v>99.38081693567752</v>
      </c>
      <c r="F68" s="86">
        <v>30188.97</v>
      </c>
      <c r="G68" s="85">
        <v>876833.5</v>
      </c>
      <c r="H68" s="48">
        <f t="shared" si="6"/>
        <v>139.66148875470657</v>
      </c>
      <c r="I68" s="30">
        <f>D68-ноябрь!D68</f>
        <v>213304.71999999997</v>
      </c>
    </row>
    <row r="69" spans="1:9" ht="12.75" customHeight="1">
      <c r="A69" s="2" t="s">
        <v>122</v>
      </c>
      <c r="B69" s="85">
        <v>76461.64</v>
      </c>
      <c r="C69" s="85">
        <v>76461.64</v>
      </c>
      <c r="D69" s="85">
        <v>74394.24</v>
      </c>
      <c r="E69" s="86">
        <f t="shared" si="5"/>
        <v>97.29616053226168</v>
      </c>
      <c r="F69" s="86">
        <v>0</v>
      </c>
      <c r="G69" s="85">
        <v>41396.9</v>
      </c>
      <c r="H69" s="48">
        <f t="shared" si="6"/>
        <v>179.70968840661982</v>
      </c>
      <c r="I69" s="30">
        <f>D69-ноябрь!D69</f>
        <v>12690.040000000008</v>
      </c>
    </row>
    <row r="70" spans="1:9" ht="20.25" customHeight="1">
      <c r="A70" s="59" t="s">
        <v>113</v>
      </c>
      <c r="B70" s="87">
        <v>0</v>
      </c>
      <c r="C70" s="87">
        <v>0</v>
      </c>
      <c r="D70" s="87">
        <v>0</v>
      </c>
      <c r="E70" s="86" t="s">
        <v>149</v>
      </c>
      <c r="F70" s="86">
        <v>0</v>
      </c>
      <c r="G70" s="85">
        <v>0</v>
      </c>
      <c r="H70" s="48">
        <v>0</v>
      </c>
      <c r="I70" s="30">
        <f>D70-ноябрь!D70</f>
        <v>0</v>
      </c>
    </row>
    <row r="71" spans="1:9" ht="25.5">
      <c r="A71" s="59" t="s">
        <v>21</v>
      </c>
      <c r="B71" s="87">
        <v>-19368.18</v>
      </c>
      <c r="C71" s="87">
        <v>-19368.18</v>
      </c>
      <c r="D71" s="87">
        <v>-19368.18</v>
      </c>
      <c r="E71" s="86">
        <f t="shared" si="5"/>
        <v>100</v>
      </c>
      <c r="F71" s="86">
        <v>-2269.2</v>
      </c>
      <c r="G71" s="85">
        <v>-2845.3</v>
      </c>
      <c r="H71" s="86">
        <f>$D:$D/$G:$G*100</f>
        <v>680.7078339718132</v>
      </c>
      <c r="I71" s="30">
        <f>D71-ноябрь!D71</f>
        <v>-995.2799999999988</v>
      </c>
    </row>
    <row r="72" spans="1:9" ht="12.75">
      <c r="A72" s="52" t="s">
        <v>20</v>
      </c>
      <c r="B72" s="87">
        <f>B63+B64</f>
        <v>4370379.41</v>
      </c>
      <c r="C72" s="87">
        <f>C63+C64</f>
        <v>4370379.41</v>
      </c>
      <c r="D72" s="87">
        <f>D63+D64</f>
        <v>4203340.01</v>
      </c>
      <c r="E72" s="86">
        <f t="shared" si="5"/>
        <v>96.17791993944984</v>
      </c>
      <c r="F72" s="86">
        <v>71521.66</v>
      </c>
      <c r="G72" s="87">
        <v>2342216.2</v>
      </c>
      <c r="H72" s="86">
        <f>$D:$D/$G:$G*100</f>
        <v>179.4599495127734</v>
      </c>
      <c r="I72" s="30">
        <f>D72-ноябрь!D72</f>
        <v>748098.6099999994</v>
      </c>
    </row>
    <row r="73" spans="1:9" ht="12.75" hidden="1">
      <c r="A73" s="59"/>
      <c r="B73" s="66"/>
      <c r="C73" s="66"/>
      <c r="D73" s="66"/>
      <c r="E73" s="50"/>
      <c r="F73" s="50"/>
      <c r="G73" s="87">
        <v>-2845.3</v>
      </c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30">
        <f>G66+G65</f>
        <v>2242383.5</v>
      </c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101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102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0">
        <f>B79+B80+B81+B82+B83+B84+B85+B86</f>
        <v>491082.79000000004</v>
      </c>
      <c r="C78" s="30">
        <f>C79+C80+C81+C82+C83+C84+C85+C86</f>
        <v>491082.79000000004</v>
      </c>
      <c r="D78" s="30">
        <f>D79+D80+D81+D82+D83+D84+D85+D86</f>
        <v>414691.01</v>
      </c>
      <c r="E78" s="86">
        <f>$D:$D/$B:$B*100</f>
        <v>84.4442156077186</v>
      </c>
      <c r="F78" s="86">
        <f>$D:$D/$C:$C*100</f>
        <v>84.4442156077186</v>
      </c>
      <c r="G78" s="30">
        <f>'[3]декабрь'!D76</f>
        <v>182118.59046</v>
      </c>
      <c r="H78" s="86">
        <f aca="true" t="shared" si="7" ref="H78:H83">$D:$D/$G:$G*100</f>
        <v>227.70383240533673</v>
      </c>
      <c r="I78" s="30">
        <f>D78-ноябрь!D78</f>
        <v>172592.71000000002</v>
      </c>
    </row>
    <row r="79" spans="1:9" ht="14.25" customHeight="1">
      <c r="A79" s="8" t="s">
        <v>24</v>
      </c>
      <c r="B79" s="82">
        <v>2800.19</v>
      </c>
      <c r="C79" s="82">
        <v>2800.19</v>
      </c>
      <c r="D79" s="82">
        <v>2796.29</v>
      </c>
      <c r="E79" s="48">
        <f>$D:$D/$B:$B*100</f>
        <v>99.86072373660359</v>
      </c>
      <c r="F79" s="48">
        <v>0</v>
      </c>
      <c r="G79" s="30">
        <f>'[3]декабрь'!D77</f>
        <v>2972.5481099999997</v>
      </c>
      <c r="H79" s="48">
        <f t="shared" si="7"/>
        <v>94.07047073831886</v>
      </c>
      <c r="I79" s="30">
        <f>D79-ноябрь!D79</f>
        <v>366.19000000000005</v>
      </c>
    </row>
    <row r="80" spans="1:9" ht="12.75">
      <c r="A80" s="8" t="s">
        <v>25</v>
      </c>
      <c r="B80" s="82">
        <v>8069.72</v>
      </c>
      <c r="C80" s="82">
        <v>8069.72</v>
      </c>
      <c r="D80" s="82">
        <v>8069.72</v>
      </c>
      <c r="E80" s="48">
        <f>$D:$D/$B:$B*100</f>
        <v>100</v>
      </c>
      <c r="F80" s="48">
        <f>$D:$D/$C:$C*100</f>
        <v>100</v>
      </c>
      <c r="G80" s="30">
        <f>'[3]декабрь'!D78</f>
        <v>6194.38304</v>
      </c>
      <c r="H80" s="48">
        <f t="shared" si="7"/>
        <v>130.27479811774768</v>
      </c>
      <c r="I80" s="30">
        <f>D80-ноябрь!D80</f>
        <v>1545.5200000000004</v>
      </c>
    </row>
    <row r="81" spans="1:9" ht="25.5">
      <c r="A81" s="8" t="s">
        <v>26</v>
      </c>
      <c r="B81" s="82">
        <v>71340.63</v>
      </c>
      <c r="C81" s="82">
        <v>71340.63</v>
      </c>
      <c r="D81" s="82">
        <v>70549.6</v>
      </c>
      <c r="E81" s="48">
        <f>$D:$D/$B:$B*100</f>
        <v>98.89119285882393</v>
      </c>
      <c r="F81" s="48">
        <f>$D:$D/$C:$C*100</f>
        <v>98.89119285882393</v>
      </c>
      <c r="G81" s="30">
        <f>'[3]декабрь'!D79</f>
        <v>61124.48995</v>
      </c>
      <c r="H81" s="48">
        <f t="shared" si="7"/>
        <v>115.41953161115907</v>
      </c>
      <c r="I81" s="30">
        <f>D81-ноябрь!D81</f>
        <v>18103.700000000004</v>
      </c>
    </row>
    <row r="82" spans="1:9" ht="12.75">
      <c r="A82" s="8" t="s">
        <v>72</v>
      </c>
      <c r="B82" s="82">
        <v>327.7</v>
      </c>
      <c r="C82" s="82">
        <v>327.7</v>
      </c>
      <c r="D82" s="82">
        <v>170</v>
      </c>
      <c r="E82" s="48">
        <v>0</v>
      </c>
      <c r="F82" s="48">
        <v>0</v>
      </c>
      <c r="G82" s="30">
        <f>'[3]декабрь'!D80</f>
        <v>28.4</v>
      </c>
      <c r="H82" s="48">
        <f t="shared" si="7"/>
        <v>598.5915492957747</v>
      </c>
      <c r="I82" s="30">
        <f>D82-ноябрь!D82</f>
        <v>0</v>
      </c>
    </row>
    <row r="83" spans="1:9" ht="25.5">
      <c r="A83" s="1" t="s">
        <v>27</v>
      </c>
      <c r="B83" s="82">
        <v>16474.81</v>
      </c>
      <c r="C83" s="82">
        <v>16474.81</v>
      </c>
      <c r="D83" s="82">
        <v>16474.81</v>
      </c>
      <c r="E83" s="48">
        <f>$D:$D/$B:$B*100</f>
        <v>100</v>
      </c>
      <c r="F83" s="48">
        <v>0</v>
      </c>
      <c r="G83" s="30">
        <f>'[3]декабрь'!D81</f>
        <v>14736.52356</v>
      </c>
      <c r="H83" s="48">
        <f t="shared" si="7"/>
        <v>111.79577010088262</v>
      </c>
      <c r="I83" s="30">
        <f>D83-ноябрь!D83</f>
        <v>2085.9100000000017</v>
      </c>
    </row>
    <row r="84" spans="1:9" ht="12.75">
      <c r="A84" s="8" t="s">
        <v>28</v>
      </c>
      <c r="B84" s="82">
        <v>7709.65</v>
      </c>
      <c r="C84" s="82">
        <v>7709.65</v>
      </c>
      <c r="D84" s="82">
        <v>7709.65</v>
      </c>
      <c r="E84" s="48">
        <v>0</v>
      </c>
      <c r="F84" s="48">
        <v>0</v>
      </c>
      <c r="G84" s="30">
        <f>'[3]декабрь'!D82</f>
        <v>0</v>
      </c>
      <c r="H84" s="48">
        <v>0</v>
      </c>
      <c r="I84" s="30">
        <f>D84-ноябрь!D84</f>
        <v>-0.0500000000001819</v>
      </c>
    </row>
    <row r="85" spans="1:9" ht="12.75">
      <c r="A85" s="8" t="s">
        <v>29</v>
      </c>
      <c r="B85" s="82">
        <v>150</v>
      </c>
      <c r="C85" s="82">
        <v>150</v>
      </c>
      <c r="D85" s="82">
        <v>0</v>
      </c>
      <c r="E85" s="48">
        <f>$D:$D/$B:$B*100</f>
        <v>0</v>
      </c>
      <c r="F85" s="48">
        <v>0</v>
      </c>
      <c r="G85" s="30">
        <f>'[3]декабрь'!D83</f>
        <v>0</v>
      </c>
      <c r="H85" s="48">
        <v>0</v>
      </c>
      <c r="I85" s="30">
        <f>D85-ноябрь!D85</f>
        <v>0</v>
      </c>
    </row>
    <row r="86" spans="1:9" ht="12.75">
      <c r="A86" s="1" t="s">
        <v>30</v>
      </c>
      <c r="B86" s="82">
        <v>384210.09</v>
      </c>
      <c r="C86" s="82">
        <v>384210.09</v>
      </c>
      <c r="D86" s="82">
        <v>308920.94</v>
      </c>
      <c r="E86" s="48">
        <f>$D:$D/$B:$B*100</f>
        <v>80.40417158227156</v>
      </c>
      <c r="F86" s="48">
        <f>$D:$D/$C:$C*100</f>
        <v>80.40417158227156</v>
      </c>
      <c r="G86" s="30">
        <f>'[3]декабрь'!D84</f>
        <v>97062.2458</v>
      </c>
      <c r="H86" s="48">
        <f>$D:$D/$G:$G*100</f>
        <v>318.27095844922223</v>
      </c>
      <c r="I86" s="30">
        <f>D86-ноябрь!D86</f>
        <v>150491.44</v>
      </c>
    </row>
    <row r="87" spans="1:9" ht="12.75">
      <c r="A87" s="7" t="s">
        <v>31</v>
      </c>
      <c r="B87" s="87">
        <v>455.03</v>
      </c>
      <c r="C87" s="87">
        <v>455.03</v>
      </c>
      <c r="D87" s="87">
        <v>455.03</v>
      </c>
      <c r="E87" s="86">
        <f>$D:$D/$B:$B*100</f>
        <v>100</v>
      </c>
      <c r="F87" s="86">
        <f>$D:$D/$C:$C*100</f>
        <v>100</v>
      </c>
      <c r="G87" s="30">
        <f>'[3]декабрь'!D85</f>
        <v>381.4851</v>
      </c>
      <c r="H87" s="86">
        <f>$D:$D/$G:$G*100</f>
        <v>119.27857732844612</v>
      </c>
      <c r="I87" s="30">
        <f>D87-ноябрь!D87</f>
        <v>72.32999999999998</v>
      </c>
    </row>
    <row r="88" spans="1:9" ht="25.5">
      <c r="A88" s="9" t="s">
        <v>32</v>
      </c>
      <c r="B88" s="94">
        <v>7590.16</v>
      </c>
      <c r="C88" s="94">
        <v>7590.16</v>
      </c>
      <c r="D88" s="94">
        <v>7546.86</v>
      </c>
      <c r="E88" s="86">
        <f>$D:$D/$B:$B*100</f>
        <v>99.42952454230213</v>
      </c>
      <c r="F88" s="86">
        <f>$D:$D/$C:$C*100</f>
        <v>99.42952454230213</v>
      </c>
      <c r="G88" s="30">
        <f>'[3]декабрь'!D86</f>
        <v>7620.57363</v>
      </c>
      <c r="H88" s="86">
        <f>$D:$D/$G:$G*100</f>
        <v>99.03270234526951</v>
      </c>
      <c r="I88" s="30">
        <f>D88-ноябрь!D88</f>
        <v>2085.96</v>
      </c>
    </row>
    <row r="89" spans="1:9" ht="12.75">
      <c r="A89" s="7" t="s">
        <v>33</v>
      </c>
      <c r="B89" s="30">
        <f>B90+B91+B92+B93+B94</f>
        <v>608970.4299999999</v>
      </c>
      <c r="C89" s="30">
        <f>C90+C91+C92+C93+C94</f>
        <v>608970.4299999999</v>
      </c>
      <c r="D89" s="30">
        <f>D90+D91+D92+D93+D94</f>
        <v>553322.31</v>
      </c>
      <c r="E89" s="86">
        <f>$D:$D/$B:$B*100</f>
        <v>90.86193396943759</v>
      </c>
      <c r="F89" s="86">
        <f>$D:$D/$C:$C*100</f>
        <v>90.86193396943759</v>
      </c>
      <c r="G89" s="30">
        <f>'[3]декабрь'!D87</f>
        <v>349352.11462999997</v>
      </c>
      <c r="H89" s="86">
        <f>$D:$D/$G:$G*100</f>
        <v>158.38527572275484</v>
      </c>
      <c r="I89" s="30">
        <f>D89-ноябрь!D89</f>
        <v>36817.110000000044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0">
        <f>'[3]декабрь'!D88</f>
        <v>0</v>
      </c>
      <c r="H90" s="48">
        <v>0</v>
      </c>
      <c r="I90" s="30">
        <f>D90-ноябрь!D90</f>
        <v>0</v>
      </c>
    </row>
    <row r="91" spans="1:9" ht="12.75" customHeight="1">
      <c r="A91" s="10" t="s">
        <v>67</v>
      </c>
      <c r="B91" s="82">
        <v>0</v>
      </c>
      <c r="C91" s="82">
        <v>0</v>
      </c>
      <c r="D91" s="71">
        <v>0</v>
      </c>
      <c r="E91" s="48">
        <v>0</v>
      </c>
      <c r="F91" s="48">
        <v>0</v>
      </c>
      <c r="G91" s="30">
        <f>'[3]декабрь'!D89</f>
        <v>0</v>
      </c>
      <c r="H91" s="48">
        <v>0</v>
      </c>
      <c r="I91" s="30">
        <f>D91-ноябрь!D91</f>
        <v>0</v>
      </c>
    </row>
    <row r="92" spans="1:9" ht="12.75">
      <c r="A92" s="8" t="s">
        <v>34</v>
      </c>
      <c r="B92" s="82">
        <v>27871.84</v>
      </c>
      <c r="C92" s="82">
        <v>27871.84</v>
      </c>
      <c r="D92" s="82">
        <v>27871.84</v>
      </c>
      <c r="E92" s="48">
        <f>$D:$D/$B:$B*100</f>
        <v>100</v>
      </c>
      <c r="F92" s="48">
        <v>0</v>
      </c>
      <c r="G92" s="30">
        <f>'[3]декабрь'!D90</f>
        <v>26130.35352</v>
      </c>
      <c r="H92" s="48">
        <f>$D:$D/$G:$G*100</f>
        <v>106.6646112486273</v>
      </c>
      <c r="I92" s="30">
        <f>D92-ноябрь!D92</f>
        <v>4658.040000000001</v>
      </c>
    </row>
    <row r="93" spans="1:9" ht="12.75">
      <c r="A93" s="10" t="s">
        <v>77</v>
      </c>
      <c r="B93" s="82">
        <v>537401.72</v>
      </c>
      <c r="C93" s="82">
        <v>537401.72</v>
      </c>
      <c r="D93" s="82">
        <v>481753.6</v>
      </c>
      <c r="E93" s="48">
        <f>$D:$D/$B:$B*100</f>
        <v>89.64496801387239</v>
      </c>
      <c r="F93" s="48">
        <f>$D:$D/$C:$C*100</f>
        <v>89.64496801387239</v>
      </c>
      <c r="G93" s="30">
        <f>'[3]декабрь'!D91</f>
        <v>277528.32771</v>
      </c>
      <c r="H93" s="48">
        <f>$D:$D/$G:$G*100</f>
        <v>173.5871808024595</v>
      </c>
      <c r="I93" s="30">
        <f>D93-ноябрь!D93</f>
        <v>17082.599999999977</v>
      </c>
    </row>
    <row r="94" spans="1:9" ht="12.75">
      <c r="A94" s="8" t="s">
        <v>35</v>
      </c>
      <c r="B94" s="82">
        <v>43696.87</v>
      </c>
      <c r="C94" s="82">
        <v>43696.87</v>
      </c>
      <c r="D94" s="82">
        <v>43696.87</v>
      </c>
      <c r="E94" s="48">
        <f>$D:$D/$B:$B*100</f>
        <v>100</v>
      </c>
      <c r="F94" s="48">
        <f>$D:$D/$C:$C*100</f>
        <v>100</v>
      </c>
      <c r="G94" s="30">
        <f>'[3]декабрь'!D92</f>
        <v>45693.4334</v>
      </c>
      <c r="H94" s="48">
        <f>$D:$D/$G:$G*100</f>
        <v>95.63052445080655</v>
      </c>
      <c r="I94" s="30">
        <f>D94-ноябрь!D94</f>
        <v>15076.470000000001</v>
      </c>
    </row>
    <row r="95" spans="1:9" ht="12.75">
      <c r="A95" s="7" t="s">
        <v>36</v>
      </c>
      <c r="B95" s="86">
        <f>B97+B98+B99+B96</f>
        <v>808698.78</v>
      </c>
      <c r="C95" s="86">
        <f>C97+C98+C99+C96</f>
        <v>808698.78</v>
      </c>
      <c r="D95" s="30">
        <f>D97+D98+D99+D96</f>
        <v>685157.3</v>
      </c>
      <c r="E95" s="30">
        <f>E98+E99+E96</f>
        <v>171.35945316286825</v>
      </c>
      <c r="F95" s="86">
        <f>$D:$D/$C:$C*100</f>
        <v>84.72342446219592</v>
      </c>
      <c r="G95" s="30">
        <f>'[3]декабрь'!D93</f>
        <v>391666.56244</v>
      </c>
      <c r="H95" s="30">
        <f>H97+H98+H99</f>
        <v>635.4723493654797</v>
      </c>
      <c r="I95" s="30">
        <f>D95-ноябрь!D95</f>
        <v>190413.00000000006</v>
      </c>
    </row>
    <row r="96" spans="1:9" ht="12.75">
      <c r="A96" s="8" t="s">
        <v>37</v>
      </c>
      <c r="B96" s="71">
        <v>89657.32</v>
      </c>
      <c r="C96" s="71">
        <v>89657.32</v>
      </c>
      <c r="D96" s="71">
        <v>59715.39</v>
      </c>
      <c r="E96" s="48">
        <v>0</v>
      </c>
      <c r="F96" s="48">
        <v>0</v>
      </c>
      <c r="G96" s="30">
        <f>'[3]декабрь'!D94</f>
        <v>112136.96977</v>
      </c>
      <c r="H96" s="48">
        <f>$D:$D/$G:$G*100</f>
        <v>53.25218803618471</v>
      </c>
      <c r="I96" s="30">
        <f>D96-ноябрь!D96</f>
        <v>25863.690000000002</v>
      </c>
    </row>
    <row r="97" spans="1:9" ht="12.75">
      <c r="A97" s="8" t="s">
        <v>38</v>
      </c>
      <c r="B97" s="71">
        <v>26447.11</v>
      </c>
      <c r="C97" s="71">
        <v>26447.11</v>
      </c>
      <c r="D97" s="71">
        <v>25433.55</v>
      </c>
      <c r="E97" s="48">
        <f aca="true" t="shared" si="8" ref="E97:E102">$D:$D/$B:$B*100</f>
        <v>96.1675963838771</v>
      </c>
      <c r="F97" s="48">
        <v>0</v>
      </c>
      <c r="G97" s="30">
        <f>'[3]декабрь'!D95</f>
        <v>16563.68515</v>
      </c>
      <c r="H97" s="48">
        <f>$D:$D/$G:$G*100</f>
        <v>153.55006914026012</v>
      </c>
      <c r="I97" s="30">
        <f>D97-ноябрь!D97</f>
        <v>15250.25</v>
      </c>
    </row>
    <row r="98" spans="1:9" ht="12.75">
      <c r="A98" s="8" t="s">
        <v>39</v>
      </c>
      <c r="B98" s="71">
        <v>469409.9</v>
      </c>
      <c r="C98" s="71">
        <v>469409.9</v>
      </c>
      <c r="D98" s="71">
        <v>414762.77</v>
      </c>
      <c r="E98" s="48">
        <f t="shared" si="8"/>
        <v>88.35833458135416</v>
      </c>
      <c r="F98" s="48">
        <f>$D:$D/$C:$C*100</f>
        <v>88.35833458135416</v>
      </c>
      <c r="G98" s="30">
        <f>'[3]декабрь'!D96</f>
        <v>116762.91143000001</v>
      </c>
      <c r="H98" s="48">
        <f>$D:$D/$G:$G*100</f>
        <v>355.2179068853148</v>
      </c>
      <c r="I98" s="30">
        <f>D98-ноябрь!D98</f>
        <v>104329.47000000003</v>
      </c>
    </row>
    <row r="99" spans="1:9" ht="27" customHeight="1">
      <c r="A99" s="97" t="s">
        <v>188</v>
      </c>
      <c r="B99" s="71">
        <v>223184.45</v>
      </c>
      <c r="C99" s="71">
        <v>223184.45</v>
      </c>
      <c r="D99" s="71">
        <v>185245.59</v>
      </c>
      <c r="E99" s="48">
        <f t="shared" si="8"/>
        <v>83.00111858151408</v>
      </c>
      <c r="F99" s="48">
        <f>$D:$D/$C:$C*100</f>
        <v>83.00111858151408</v>
      </c>
      <c r="G99" s="30">
        <f>'[3]декабрь'!D97</f>
        <v>146202.99609</v>
      </c>
      <c r="H99" s="48">
        <f>$D:$D/$G:$G*100</f>
        <v>126.70437333990479</v>
      </c>
      <c r="I99" s="30">
        <f>D99-ноябрь!D99</f>
        <v>44969.59</v>
      </c>
    </row>
    <row r="100" spans="1:9" ht="12.75">
      <c r="A100" s="11" t="s">
        <v>115</v>
      </c>
      <c r="B100" s="30">
        <f>B101+B102</f>
        <v>17914.78</v>
      </c>
      <c r="C100" s="30">
        <f>C101+C102</f>
        <v>17914.78</v>
      </c>
      <c r="D100" s="30">
        <f>D101+D102</f>
        <v>5386.4400000000005</v>
      </c>
      <c r="E100" s="86">
        <f t="shared" si="8"/>
        <v>30.067017289634595</v>
      </c>
      <c r="F100" s="86"/>
      <c r="G100" s="30">
        <f>'[3]декабрь'!D98</f>
        <v>1777.27</v>
      </c>
      <c r="H100" s="30">
        <f>H101</f>
        <v>115.49680127386385</v>
      </c>
      <c r="I100" s="30">
        <f>D100-ноябрь!D100</f>
        <v>4013.1400000000003</v>
      </c>
    </row>
    <row r="101" spans="1:9" ht="25.5">
      <c r="A101" s="41" t="s">
        <v>143</v>
      </c>
      <c r="B101" s="82">
        <v>2063.8</v>
      </c>
      <c r="C101" s="82">
        <v>2063.8</v>
      </c>
      <c r="D101" s="82">
        <v>2052.69</v>
      </c>
      <c r="E101" s="48">
        <f t="shared" si="8"/>
        <v>99.46167264269793</v>
      </c>
      <c r="F101" s="48"/>
      <c r="G101" s="30">
        <f>'[3]декабрь'!D99</f>
        <v>1777.27</v>
      </c>
      <c r="H101" s="48">
        <f>$D:$D/$G:$G*100</f>
        <v>115.49680127386385</v>
      </c>
      <c r="I101" s="30">
        <f>D101-ноябрь!D101</f>
        <v>721.99</v>
      </c>
    </row>
    <row r="102" spans="1:9" ht="25.5">
      <c r="A102" s="8" t="s">
        <v>169</v>
      </c>
      <c r="B102" s="82">
        <v>15850.98</v>
      </c>
      <c r="C102" s="82">
        <v>15850.98</v>
      </c>
      <c r="D102" s="82">
        <v>3333.75</v>
      </c>
      <c r="E102" s="48">
        <f t="shared" si="8"/>
        <v>21.031822638095562</v>
      </c>
      <c r="F102" s="48"/>
      <c r="G102" s="30">
        <f>'[3]декабрь'!D100</f>
        <v>0</v>
      </c>
      <c r="H102" s="48">
        <v>0</v>
      </c>
      <c r="I102" s="30">
        <f>D102-ноябрь!D102</f>
        <v>3291.15</v>
      </c>
    </row>
    <row r="103" spans="1:9" ht="12.75">
      <c r="A103" s="11" t="s">
        <v>41</v>
      </c>
      <c r="B103" s="30">
        <f>B104+B105+B107+B108+B109+B106</f>
        <v>1801762.2799999998</v>
      </c>
      <c r="C103" s="30">
        <f>C104+C105+C107+C108+C109+C106</f>
        <v>1801762.2799999998</v>
      </c>
      <c r="D103" s="30">
        <f>D104+D105+D107+D108+D109+D106</f>
        <v>1799710.1500000001</v>
      </c>
      <c r="E103" s="30">
        <f>E104+E105+E108+E109+E107</f>
        <v>498.9035629431694</v>
      </c>
      <c r="F103" s="30">
        <f>F104+F105+F108+F109+F107</f>
        <v>498.9035629431694</v>
      </c>
      <c r="G103" s="30">
        <f>'[3]декабрь'!D101</f>
        <v>1626242.99951</v>
      </c>
      <c r="H103" s="30">
        <f>H104+H105+H108+H109+H107</f>
        <v>446.53129020749344</v>
      </c>
      <c r="I103" s="30">
        <f>D103-ноябрь!D103</f>
        <v>289174.25</v>
      </c>
    </row>
    <row r="104" spans="1:9" ht="12.75">
      <c r="A104" s="8" t="s">
        <v>42</v>
      </c>
      <c r="B104" s="82">
        <v>677760.29</v>
      </c>
      <c r="C104" s="82">
        <v>677760.29</v>
      </c>
      <c r="D104" s="82">
        <v>677760.29</v>
      </c>
      <c r="E104" s="48">
        <f aca="true" t="shared" si="9" ref="E104:E122">$D:$D/$B:$B*100</f>
        <v>100</v>
      </c>
      <c r="F104" s="48">
        <f aca="true" t="shared" si="10" ref="F104:F112">$D:$D/$C:$C*100</f>
        <v>100</v>
      </c>
      <c r="G104" s="30">
        <f>'[3]декабрь'!D102</f>
        <v>615920.00218</v>
      </c>
      <c r="H104" s="48">
        <f aca="true" t="shared" si="11" ref="H104:H112">$D:$D/$G:$G*100</f>
        <v>110.04031166403449</v>
      </c>
      <c r="I104" s="30">
        <f>D104-ноябрь!D104</f>
        <v>105435.29000000004</v>
      </c>
    </row>
    <row r="105" spans="1:9" ht="12.75">
      <c r="A105" s="8" t="s">
        <v>43</v>
      </c>
      <c r="B105" s="82">
        <v>735160.88</v>
      </c>
      <c r="C105" s="82">
        <v>735160.88</v>
      </c>
      <c r="D105" s="82">
        <v>734187.01</v>
      </c>
      <c r="E105" s="48">
        <f t="shared" si="9"/>
        <v>99.86752967595338</v>
      </c>
      <c r="F105" s="48">
        <f t="shared" si="10"/>
        <v>99.86752967595338</v>
      </c>
      <c r="G105" s="30">
        <f>'[3]декабрь'!D103</f>
        <v>653485.18689</v>
      </c>
      <c r="H105" s="48">
        <f t="shared" si="11"/>
        <v>112.34944949465005</v>
      </c>
      <c r="I105" s="30">
        <f>D105-ноябрь!D105</f>
        <v>122054.31000000006</v>
      </c>
    </row>
    <row r="106" spans="1:9" ht="12.75">
      <c r="A106" s="22" t="s">
        <v>105</v>
      </c>
      <c r="B106" s="82">
        <v>158861.71</v>
      </c>
      <c r="C106" s="82">
        <v>158861.71</v>
      </c>
      <c r="D106" s="82">
        <v>158709.3</v>
      </c>
      <c r="E106" s="48">
        <f t="shared" si="9"/>
        <v>99.90406121147758</v>
      </c>
      <c r="F106" s="48">
        <f t="shared" si="10"/>
        <v>99.90406121147758</v>
      </c>
      <c r="G106" s="30">
        <f>'[3]декабрь'!D104</f>
        <v>132370.96569</v>
      </c>
      <c r="H106" s="48">
        <f t="shared" si="11"/>
        <v>119.8973650850911</v>
      </c>
      <c r="I106" s="30">
        <f>D106-ноябрь!D106</f>
        <v>27847.79999999999</v>
      </c>
    </row>
    <row r="107" spans="1:9" ht="25.5">
      <c r="A107" s="8" t="s">
        <v>123</v>
      </c>
      <c r="B107" s="82">
        <v>367.14</v>
      </c>
      <c r="C107" s="82">
        <v>367.14</v>
      </c>
      <c r="D107" s="82">
        <v>367.14</v>
      </c>
      <c r="E107" s="48">
        <f t="shared" si="9"/>
        <v>100</v>
      </c>
      <c r="F107" s="48">
        <f t="shared" si="10"/>
        <v>100</v>
      </c>
      <c r="G107" s="30">
        <f>'[3]декабрь'!D105</f>
        <v>1048.533</v>
      </c>
      <c r="H107" s="48">
        <f t="shared" si="11"/>
        <v>35.014634732526304</v>
      </c>
      <c r="I107" s="30">
        <f>D107-ноябрь!D107</f>
        <v>24.039999999999964</v>
      </c>
    </row>
    <row r="108" spans="1:9" ht="12.75">
      <c r="A108" s="8" t="s">
        <v>44</v>
      </c>
      <c r="B108" s="82">
        <v>48293.52</v>
      </c>
      <c r="C108" s="82">
        <v>48293.52</v>
      </c>
      <c r="D108" s="82">
        <v>47995.1</v>
      </c>
      <c r="E108" s="48">
        <f t="shared" si="9"/>
        <v>99.38207030674094</v>
      </c>
      <c r="F108" s="48">
        <f t="shared" si="10"/>
        <v>99.38207030674094</v>
      </c>
      <c r="G108" s="30">
        <f>'[3]декабрь'!D106</f>
        <v>62411.56865</v>
      </c>
      <c r="H108" s="48">
        <f t="shared" si="11"/>
        <v>76.90096730167669</v>
      </c>
      <c r="I108" s="30">
        <f>D108-ноябрь!D108</f>
        <v>4977.299999999996</v>
      </c>
    </row>
    <row r="109" spans="1:9" ht="12.75">
      <c r="A109" s="8" t="s">
        <v>45</v>
      </c>
      <c r="B109" s="82">
        <v>181318.74</v>
      </c>
      <c r="C109" s="82">
        <v>181318.74</v>
      </c>
      <c r="D109" s="82">
        <v>180691.31</v>
      </c>
      <c r="E109" s="48">
        <f t="shared" si="9"/>
        <v>99.65396296047501</v>
      </c>
      <c r="F109" s="48">
        <f t="shared" si="10"/>
        <v>99.65396296047501</v>
      </c>
      <c r="G109" s="30">
        <f>'[3]декабрь'!D107</f>
        <v>161006.7431</v>
      </c>
      <c r="H109" s="48">
        <f t="shared" si="11"/>
        <v>112.2259270146059</v>
      </c>
      <c r="I109" s="30">
        <f>D109-ноябрь!D109</f>
        <v>28835.51000000001</v>
      </c>
    </row>
    <row r="110" spans="1:9" ht="25.5">
      <c r="A110" s="11" t="s">
        <v>46</v>
      </c>
      <c r="B110" s="30">
        <f>B111+B112</f>
        <v>324389.4</v>
      </c>
      <c r="C110" s="30">
        <f>C111+C112</f>
        <v>324389.4</v>
      </c>
      <c r="D110" s="30">
        <f>D111+D112</f>
        <v>315988.02</v>
      </c>
      <c r="E110" s="86">
        <f t="shared" si="9"/>
        <v>97.41009416460588</v>
      </c>
      <c r="F110" s="86">
        <f t="shared" si="10"/>
        <v>97.41009416460588</v>
      </c>
      <c r="G110" s="30">
        <f>'[3]декабрь'!D108</f>
        <v>257080.69365</v>
      </c>
      <c r="H110" s="86">
        <f t="shared" si="11"/>
        <v>122.91394406699354</v>
      </c>
      <c r="I110" s="30">
        <f>D110-ноябрь!D110</f>
        <v>131871.22000000003</v>
      </c>
    </row>
    <row r="111" spans="1:9" ht="12.75">
      <c r="A111" s="8" t="s">
        <v>47</v>
      </c>
      <c r="B111" s="82">
        <v>265118.99</v>
      </c>
      <c r="C111" s="82">
        <v>265118.99</v>
      </c>
      <c r="D111" s="82">
        <v>261437.63</v>
      </c>
      <c r="E111" s="48">
        <f t="shared" si="9"/>
        <v>98.6114310408319</v>
      </c>
      <c r="F111" s="48">
        <f t="shared" si="10"/>
        <v>98.6114310408319</v>
      </c>
      <c r="G111" s="30">
        <f>'[3]декабрь'!D109</f>
        <v>219544.98523</v>
      </c>
      <c r="H111" s="48">
        <f t="shared" si="11"/>
        <v>119.08157671017281</v>
      </c>
      <c r="I111" s="30">
        <f>D111-ноябрь!D111</f>
        <v>104762.23000000001</v>
      </c>
    </row>
    <row r="112" spans="1:9" ht="25.5">
      <c r="A112" s="8" t="s">
        <v>48</v>
      </c>
      <c r="B112" s="82">
        <v>59270.41</v>
      </c>
      <c r="C112" s="82">
        <v>59270.41</v>
      </c>
      <c r="D112" s="82">
        <v>54550.39</v>
      </c>
      <c r="E112" s="48">
        <f t="shared" si="9"/>
        <v>92.03646473847573</v>
      </c>
      <c r="F112" s="48">
        <f t="shared" si="10"/>
        <v>92.03646473847573</v>
      </c>
      <c r="G112" s="30">
        <f>'[3]декабрь'!D110</f>
        <v>37535.70842</v>
      </c>
      <c r="H112" s="48">
        <f t="shared" si="11"/>
        <v>145.3293205222527</v>
      </c>
      <c r="I112" s="30">
        <f>D112-ноябрь!D112</f>
        <v>27108.989999999998</v>
      </c>
    </row>
    <row r="113" spans="1:9" ht="12.75">
      <c r="A113" s="11" t="s">
        <v>97</v>
      </c>
      <c r="B113" s="30">
        <f>B114</f>
        <v>195.76</v>
      </c>
      <c r="C113" s="30">
        <f>C114</f>
        <v>195.76</v>
      </c>
      <c r="D113" s="30">
        <f>D114</f>
        <v>195.76</v>
      </c>
      <c r="E113" s="86">
        <f t="shared" si="9"/>
        <v>100</v>
      </c>
      <c r="F113" s="86">
        <v>0</v>
      </c>
      <c r="G113" s="30">
        <f>'[3]декабрь'!D111</f>
        <v>42.45</v>
      </c>
      <c r="H113" s="48">
        <v>0</v>
      </c>
      <c r="I113" s="30">
        <f>D113-ноябрь!D113</f>
        <v>-0.040000000000020464</v>
      </c>
    </row>
    <row r="114" spans="1:9" ht="12.75">
      <c r="A114" s="8" t="s">
        <v>98</v>
      </c>
      <c r="B114" s="82">
        <v>195.76</v>
      </c>
      <c r="C114" s="82">
        <v>195.76</v>
      </c>
      <c r="D114" s="82">
        <v>195.76</v>
      </c>
      <c r="E114" s="48">
        <f t="shared" si="9"/>
        <v>100</v>
      </c>
      <c r="F114" s="48">
        <v>0</v>
      </c>
      <c r="G114" s="30">
        <f>'[3]декабрь'!D112</f>
        <v>42.45</v>
      </c>
      <c r="H114" s="48">
        <v>0</v>
      </c>
      <c r="I114" s="30">
        <f>D114-ноябрь!D114</f>
        <v>-0.040000000000020464</v>
      </c>
    </row>
    <row r="115" spans="1:9" ht="12.75">
      <c r="A115" s="11" t="s">
        <v>49</v>
      </c>
      <c r="B115" s="30">
        <f>B116+B117+B118+B119+B120</f>
        <v>179783.07</v>
      </c>
      <c r="C115" s="30">
        <f>C116+C117+C118+C119+C120</f>
        <v>179783.07</v>
      </c>
      <c r="D115" s="30">
        <f>D116+D117+D118+D119+D120</f>
        <v>169741.68000000002</v>
      </c>
      <c r="E115" s="86">
        <f t="shared" si="9"/>
        <v>94.41471880528017</v>
      </c>
      <c r="F115" s="86">
        <f>$D:$D/$C:$C*100</f>
        <v>94.41471880528017</v>
      </c>
      <c r="G115" s="30">
        <f>'[3]декабрь'!D113</f>
        <v>125941.60414</v>
      </c>
      <c r="H115" s="86">
        <f aca="true" t="shared" si="12" ref="H115:H124">$D:$D/$G:$G*100</f>
        <v>134.7780831910881</v>
      </c>
      <c r="I115" s="30">
        <f>D115-ноябрь!D115</f>
        <v>44381.480000000025</v>
      </c>
    </row>
    <row r="116" spans="1:9" ht="12.75">
      <c r="A116" s="8" t="s">
        <v>50</v>
      </c>
      <c r="B116" s="82">
        <v>2484.77</v>
      </c>
      <c r="C116" s="82">
        <v>2484.77</v>
      </c>
      <c r="D116" s="82">
        <v>2484.77</v>
      </c>
      <c r="E116" s="48">
        <f t="shared" si="9"/>
        <v>100</v>
      </c>
      <c r="F116" s="48">
        <v>0</v>
      </c>
      <c r="G116" s="30">
        <f>'[3]декабрь'!D114</f>
        <v>2816.3516600000003</v>
      </c>
      <c r="H116" s="48">
        <f t="shared" si="12"/>
        <v>88.22655335591152</v>
      </c>
      <c r="I116" s="30">
        <f>D116-ноябрь!D116</f>
        <v>399.1700000000001</v>
      </c>
    </row>
    <row r="117" spans="1:9" ht="12.75" hidden="1">
      <c r="A117" s="8" t="s">
        <v>51</v>
      </c>
      <c r="B117" s="82">
        <v>0</v>
      </c>
      <c r="C117" s="82">
        <v>0</v>
      </c>
      <c r="D117" s="82">
        <v>0</v>
      </c>
      <c r="E117" s="48" t="e">
        <f t="shared" si="9"/>
        <v>#DIV/0!</v>
      </c>
      <c r="F117" s="48" t="e">
        <f>$D:$D/$C:$C*100</f>
        <v>#DIV/0!</v>
      </c>
      <c r="G117" s="30">
        <f>'[3]декабрь'!D115</f>
        <v>0</v>
      </c>
      <c r="H117" s="48" t="e">
        <f t="shared" si="12"/>
        <v>#DIV/0!</v>
      </c>
      <c r="I117" s="30">
        <f>D117-ноябрь!D117</f>
        <v>0</v>
      </c>
    </row>
    <row r="118" spans="1:9" ht="12.75">
      <c r="A118" s="8" t="s">
        <v>52</v>
      </c>
      <c r="B118" s="82">
        <v>87003.26</v>
      </c>
      <c r="C118" s="82">
        <v>87003.26</v>
      </c>
      <c r="D118" s="82">
        <v>81007.74</v>
      </c>
      <c r="E118" s="48">
        <f t="shared" si="9"/>
        <v>93.10885592103102</v>
      </c>
      <c r="F118" s="48">
        <v>0</v>
      </c>
      <c r="G118" s="30">
        <f>'[3]декабрь'!D116</f>
        <v>68447.06388</v>
      </c>
      <c r="H118" s="48">
        <f t="shared" si="12"/>
        <v>118.35093488015956</v>
      </c>
      <c r="I118" s="30">
        <f>D118-ноябрь!D118</f>
        <v>18436.240000000005</v>
      </c>
    </row>
    <row r="119" spans="1:9" ht="12.75">
      <c r="A119" s="8" t="s">
        <v>53</v>
      </c>
      <c r="B119" s="82">
        <v>87867.74</v>
      </c>
      <c r="C119" s="82">
        <v>87867.74</v>
      </c>
      <c r="D119" s="82">
        <v>83974.38</v>
      </c>
      <c r="E119" s="48">
        <f t="shared" si="9"/>
        <v>95.56906778301115</v>
      </c>
      <c r="F119" s="48">
        <f>$D:$D/$C:$C*100</f>
        <v>95.56906778301115</v>
      </c>
      <c r="G119" s="30">
        <f>'[3]декабрь'!D117</f>
        <v>52866.71814</v>
      </c>
      <c r="H119" s="48">
        <f t="shared" si="12"/>
        <v>158.8416738440651</v>
      </c>
      <c r="I119" s="30">
        <f>D119-ноябрь!D119</f>
        <v>25182.08</v>
      </c>
    </row>
    <row r="120" spans="1:9" ht="12.75">
      <c r="A120" s="8" t="s">
        <v>54</v>
      </c>
      <c r="B120" s="82">
        <v>2427.3</v>
      </c>
      <c r="C120" s="82">
        <v>2427.3</v>
      </c>
      <c r="D120" s="82">
        <v>2274.79</v>
      </c>
      <c r="E120" s="48">
        <f t="shared" si="9"/>
        <v>93.71688707617517</v>
      </c>
      <c r="F120" s="48"/>
      <c r="G120" s="30">
        <f>'[3]декабрь'!D118</f>
        <v>1811.47046</v>
      </c>
      <c r="H120" s="48">
        <f t="shared" si="12"/>
        <v>125.57698567162944</v>
      </c>
      <c r="I120" s="30">
        <f>D120-ноябрь!D120</f>
        <v>363.99</v>
      </c>
    </row>
    <row r="121" spans="1:9" ht="12.75">
      <c r="A121" s="11" t="s">
        <v>61</v>
      </c>
      <c r="B121" s="86">
        <f>B122+B123+B124</f>
        <v>219455.99000000002</v>
      </c>
      <c r="C121" s="86">
        <f>C122+C123+C124</f>
        <v>219455.99000000002</v>
      </c>
      <c r="D121" s="86">
        <f>D122+D123+D124</f>
        <v>217741.69</v>
      </c>
      <c r="E121" s="86">
        <f t="shared" si="9"/>
        <v>99.21884109884628</v>
      </c>
      <c r="F121" s="86">
        <f>$D:$D/$C:$C*100</f>
        <v>99.21884109884628</v>
      </c>
      <c r="G121" s="30">
        <f>'[3]декабрь'!D119</f>
        <v>86832.42162</v>
      </c>
      <c r="H121" s="86">
        <f t="shared" si="12"/>
        <v>250.76081714372899</v>
      </c>
      <c r="I121" s="30">
        <f>D121-ноябрь!D121</f>
        <v>33337.99000000002</v>
      </c>
    </row>
    <row r="122" spans="1:9" ht="12.75">
      <c r="A122" s="41" t="s">
        <v>62</v>
      </c>
      <c r="B122" s="85">
        <v>94618.49</v>
      </c>
      <c r="C122" s="85">
        <v>94618.49</v>
      </c>
      <c r="D122" s="85">
        <v>94047.92</v>
      </c>
      <c r="E122" s="48">
        <f t="shared" si="9"/>
        <v>99.39697832844298</v>
      </c>
      <c r="F122" s="48">
        <f>$D:$D/$C:$C*100</f>
        <v>99.39697832844298</v>
      </c>
      <c r="G122" s="30">
        <f>'[3]декабрь'!D120</f>
        <v>66057.19789</v>
      </c>
      <c r="H122" s="48">
        <f t="shared" si="12"/>
        <v>142.3734627021431</v>
      </c>
      <c r="I122" s="30">
        <f>D122-ноябрь!D122</f>
        <v>13989.520000000004</v>
      </c>
    </row>
    <row r="123" spans="1:9" ht="24.75" customHeight="1">
      <c r="A123" s="12" t="s">
        <v>63</v>
      </c>
      <c r="B123" s="85">
        <v>120270.78</v>
      </c>
      <c r="C123" s="85">
        <v>120270.78</v>
      </c>
      <c r="D123" s="85">
        <v>119127.05</v>
      </c>
      <c r="E123" s="48">
        <v>0</v>
      </c>
      <c r="F123" s="48">
        <v>0</v>
      </c>
      <c r="G123" s="30">
        <f>'[3]декабрь'!D121</f>
        <v>17085.470739999997</v>
      </c>
      <c r="H123" s="48">
        <f t="shared" si="12"/>
        <v>697.2418367209707</v>
      </c>
      <c r="I123" s="30">
        <f>D123-ноябрь!D123</f>
        <v>18347.65000000001</v>
      </c>
    </row>
    <row r="124" spans="1:9" ht="25.5">
      <c r="A124" s="12" t="s">
        <v>73</v>
      </c>
      <c r="B124" s="85">
        <v>4566.72</v>
      </c>
      <c r="C124" s="85">
        <v>4566.72</v>
      </c>
      <c r="D124" s="85">
        <v>4566.72</v>
      </c>
      <c r="E124" s="48">
        <f>$D:$D/$B:$B*100</f>
        <v>100</v>
      </c>
      <c r="F124" s="48">
        <f>$D:$D/$C:$C*100</f>
        <v>100</v>
      </c>
      <c r="G124" s="30">
        <f>'[3]декабрь'!D122</f>
        <v>3689.7529900000004</v>
      </c>
      <c r="H124" s="48">
        <f t="shared" si="12"/>
        <v>123.76763464591704</v>
      </c>
      <c r="I124" s="30">
        <f>D124-ноябрь!D124</f>
        <v>1000.8200000000002</v>
      </c>
    </row>
    <row r="125" spans="1:9" ht="26.25" customHeight="1">
      <c r="A125" s="13" t="s">
        <v>80</v>
      </c>
      <c r="B125" s="85">
        <v>2.01</v>
      </c>
      <c r="C125" s="85">
        <v>2.01</v>
      </c>
      <c r="D125" s="85">
        <v>2.01</v>
      </c>
      <c r="E125" s="48">
        <f>$D:$D/$B:$B*100</f>
        <v>100</v>
      </c>
      <c r="F125" s="48">
        <v>0</v>
      </c>
      <c r="G125" s="30">
        <f>'[3]декабрь'!D123</f>
        <v>14.90306</v>
      </c>
      <c r="H125" s="48">
        <v>0</v>
      </c>
      <c r="I125" s="30">
        <f>D125-ноябрь!D125</f>
        <v>0</v>
      </c>
    </row>
    <row r="126" spans="1:9" ht="13.5" customHeight="1">
      <c r="A126" s="12" t="s">
        <v>81</v>
      </c>
      <c r="B126" s="85">
        <v>2.01</v>
      </c>
      <c r="C126" s="85">
        <v>2.01</v>
      </c>
      <c r="D126" s="85">
        <v>2.01</v>
      </c>
      <c r="E126" s="48">
        <f>$D:$D/$B:$B*100</f>
        <v>100</v>
      </c>
      <c r="F126" s="48">
        <v>0</v>
      </c>
      <c r="G126" s="30">
        <f>'[3]декабрь'!D124</f>
        <v>14.90306</v>
      </c>
      <c r="H126" s="48">
        <v>0</v>
      </c>
      <c r="I126" s="30">
        <f>D126-ноябрь!D126</f>
        <v>0</v>
      </c>
    </row>
    <row r="127" spans="1:9" ht="15.75" customHeight="1">
      <c r="A127" s="14" t="s">
        <v>55</v>
      </c>
      <c r="B127" s="30">
        <f>B78+B87+B88+B89+B95+B103+B110+B113+B115+B121+B125+B100</f>
        <v>4460300.4799999995</v>
      </c>
      <c r="C127" s="30">
        <f>C78+C87+C88+C89+C95+C103+C110+C113+C115+C121+C125+C100</f>
        <v>4460300.4799999995</v>
      </c>
      <c r="D127" s="30">
        <f>D78+D87+D88+D89+D95+D103+D110+D113+D115+D121+D125+D100</f>
        <v>4169938.26</v>
      </c>
      <c r="E127" s="86">
        <f>$D:$D/$B:$B*100</f>
        <v>93.49007491082753</v>
      </c>
      <c r="F127" s="86">
        <f>$D:$D/$C:$C*100</f>
        <v>93.49007491082753</v>
      </c>
      <c r="G127" s="30">
        <f>'[3]декабрь'!D125</f>
        <v>3029071.66824</v>
      </c>
      <c r="H127" s="86">
        <f>$D:$D/$G:$G*100</f>
        <v>137.66390223519818</v>
      </c>
      <c r="I127" s="30">
        <f>D127-ноябрь!D127</f>
        <v>904759.1500000004</v>
      </c>
    </row>
    <row r="128" spans="1:9" ht="26.25" customHeight="1">
      <c r="A128" s="15" t="s">
        <v>56</v>
      </c>
      <c r="B128" s="30">
        <f>B72-B127</f>
        <v>-89921.06999999937</v>
      </c>
      <c r="C128" s="30">
        <f>C72-C127</f>
        <v>-89921.06999999937</v>
      </c>
      <c r="D128" s="30">
        <f>D72-D127</f>
        <v>33401.75</v>
      </c>
      <c r="E128" s="30"/>
      <c r="F128" s="30"/>
      <c r="G128" s="30">
        <f>G76-G127</f>
        <v>-3029071.66824</v>
      </c>
      <c r="H128" s="30"/>
      <c r="I128" s="30">
        <f>D128-октябрь!D128</f>
        <v>-193772.76616000058</v>
      </c>
    </row>
    <row r="129" spans="1:9" ht="24" customHeight="1">
      <c r="A129" s="1" t="s">
        <v>57</v>
      </c>
      <c r="B129" s="85" t="s">
        <v>165</v>
      </c>
      <c r="C129" s="85"/>
      <c r="D129" s="85" t="s">
        <v>197</v>
      </c>
      <c r="E129" s="85"/>
      <c r="F129" s="85"/>
      <c r="G129" s="89" t="s">
        <v>165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99223.6</v>
      </c>
      <c r="E130" s="85"/>
      <c r="F130" s="85"/>
      <c r="G130" s="87">
        <v>42871.7</v>
      </c>
      <c r="H130" s="85"/>
      <c r="I130" s="30">
        <f>D130-октябрь!D130</f>
        <v>-158771.4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85"/>
      <c r="H131" s="85"/>
      <c r="I131" s="82">
        <f>D131-октябрь!D131</f>
        <v>0</v>
      </c>
    </row>
    <row r="132" spans="1:9" ht="12.75">
      <c r="A132" s="5" t="s">
        <v>59</v>
      </c>
      <c r="B132" s="85">
        <f>Март!B130</f>
        <v>24892.3</v>
      </c>
      <c r="C132" s="85"/>
      <c r="D132" s="85">
        <v>53815.7</v>
      </c>
      <c r="E132" s="85"/>
      <c r="F132" s="85"/>
      <c r="G132" s="85">
        <v>24892.3</v>
      </c>
      <c r="H132" s="85"/>
      <c r="I132" s="82">
        <f>D132-ноябрь!D132</f>
        <v>-84879.17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99223.6-D132</f>
        <v>45407.90000000001</v>
      </c>
      <c r="E133" s="85"/>
      <c r="F133" s="85"/>
      <c r="G133" s="85">
        <v>17979.4</v>
      </c>
      <c r="H133" s="85"/>
      <c r="I133" s="82">
        <f>D133-ноябрь!D133</f>
        <v>-36781.21000000001</v>
      </c>
    </row>
    <row r="134" spans="1:9" ht="12.75">
      <c r="A134" s="3" t="s">
        <v>99</v>
      </c>
      <c r="B134" s="87">
        <f>B135-B136</f>
        <v>47049.24</v>
      </c>
      <c r="C134" s="87"/>
      <c r="D134" s="87">
        <f>D135-D136</f>
        <v>22950</v>
      </c>
      <c r="E134" s="90"/>
      <c r="F134" s="90"/>
      <c r="G134" s="87">
        <f>G135-G136</f>
        <v>-7950</v>
      </c>
      <c r="H134" s="90"/>
      <c r="I134" s="82">
        <f>D134-ноябрь!D134</f>
        <v>35000</v>
      </c>
    </row>
    <row r="135" spans="1:9" ht="12.75">
      <c r="A135" s="2" t="s">
        <v>100</v>
      </c>
      <c r="B135" s="85">
        <v>59099.24</v>
      </c>
      <c r="C135" s="85"/>
      <c r="D135" s="85">
        <v>35000</v>
      </c>
      <c r="E135" s="91"/>
      <c r="F135" s="91"/>
      <c r="G135" s="85">
        <v>12050</v>
      </c>
      <c r="H135" s="91"/>
      <c r="I135" s="82">
        <f>D135-ноябрь!D135</f>
        <v>35000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85">
        <v>20000</v>
      </c>
      <c r="H136" s="91"/>
      <c r="I136" s="82">
        <f>D136-ноябрь!D136</f>
        <v>0</v>
      </c>
    </row>
    <row r="137" spans="1:9" ht="12.75">
      <c r="A137" s="16"/>
      <c r="B137" s="25"/>
      <c r="C137" s="25"/>
      <c r="D137" s="25"/>
      <c r="E137" s="25"/>
      <c r="F137" s="25"/>
      <c r="G137" s="103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105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9" sqref="I129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155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77902.98813</v>
      </c>
      <c r="D7" s="35">
        <f>D8+D16+D21+D26+D29+D36+D45+D46+D47+D51+D62</f>
        <v>113472.67648000001</v>
      </c>
      <c r="E7" s="26">
        <f aca="true" t="shared" si="0" ref="E7:E38">$D:$D/$B:$B*100</f>
        <v>16.84939318372221</v>
      </c>
      <c r="F7" s="26">
        <v>27699.089999999997</v>
      </c>
      <c r="G7" s="35">
        <v>61965.03999999999</v>
      </c>
      <c r="H7" s="26">
        <v>96.62342697900908</v>
      </c>
      <c r="I7" s="35">
        <f>D7-Январь!D7</f>
        <v>79102.78617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f t="shared" si="0"/>
        <v>25.042103984323816</v>
      </c>
      <c r="F8" s="26">
        <v>10645.39</v>
      </c>
      <c r="G8" s="26">
        <v>34973.11</v>
      </c>
      <c r="H8" s="26">
        <v>97.3363117743925</v>
      </c>
      <c r="I8" s="35">
        <f>D8-Январь!D8</f>
        <v>68283.67685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f t="shared" si="0"/>
        <v>9.568675041142276</v>
      </c>
      <c r="F9" s="26">
        <v>200.86</v>
      </c>
      <c r="G9" s="27">
        <v>776.89</v>
      </c>
      <c r="H9" s="26">
        <v>232.3508911679777</v>
      </c>
      <c r="I9" s="35">
        <f>D9-Январь!D9</f>
        <v>301.66225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26">
        <f t="shared" si="0"/>
        <v>25.43600790079014</v>
      </c>
      <c r="F10" s="26">
        <v>10444.529999999999</v>
      </c>
      <c r="G10" s="35">
        <v>34196.22</v>
      </c>
      <c r="H10" s="47">
        <v>94.7398303226665</v>
      </c>
      <c r="I10" s="35">
        <f>D10-Январь!D10</f>
        <v>67982.01460000001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f t="shared" si="0"/>
        <v>11.717755191576945</v>
      </c>
      <c r="F11" s="26">
        <v>10058</v>
      </c>
      <c r="G11" s="28">
        <v>33806.99</v>
      </c>
      <c r="H11" s="26">
        <v>96.26963611055875</v>
      </c>
      <c r="I11" s="28">
        <f>D11-Январь!D11</f>
        <v>26295.53241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f t="shared" si="0"/>
        <v>1.2281650852426136</v>
      </c>
      <c r="F12" s="26">
        <v>81.56</v>
      </c>
      <c r="G12" s="28">
        <v>74.97</v>
      </c>
      <c r="H12" s="26">
        <v>54.54879843060324</v>
      </c>
      <c r="I12" s="28">
        <f>D12-Январь!D12</f>
        <v>8.470690000000005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f t="shared" si="0"/>
        <v>14.00648724974835</v>
      </c>
      <c r="F13" s="26">
        <v>117.15</v>
      </c>
      <c r="G13" s="28">
        <v>89.97</v>
      </c>
      <c r="H13" s="26">
        <v>38.01109688433632</v>
      </c>
      <c r="I13" s="28">
        <f>D13-Январь!D13</f>
        <v>438.9218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f t="shared" si="0"/>
        <v>17.11776093949847</v>
      </c>
      <c r="F14" s="26">
        <v>187.82</v>
      </c>
      <c r="G14" s="28">
        <v>224.29</v>
      </c>
      <c r="H14" s="26">
        <v>64.24235970610158</v>
      </c>
      <c r="I14" s="28">
        <f>D14-Январь!D14</f>
        <v>238.26749999999998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f t="shared" si="0"/>
        <v>1988.3478257878671</v>
      </c>
      <c r="F15" s="26"/>
      <c r="G15" s="35">
        <v>0</v>
      </c>
      <c r="H15" s="26">
        <v>0</v>
      </c>
      <c r="I15" s="28">
        <f>D15-Январь!D15</f>
        <v>41000.8222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f t="shared" si="0"/>
        <v>9.366384147810239</v>
      </c>
      <c r="F16" s="26">
        <v>1853.18</v>
      </c>
      <c r="G16" s="28">
        <v>1859.56</v>
      </c>
      <c r="H16" s="26">
        <v>99.62874626318005</v>
      </c>
      <c r="I16" s="28">
        <f>D16-Январь!D16</f>
        <v>0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f t="shared" si="0"/>
        <v>9.693808394202694</v>
      </c>
      <c r="F17" s="26">
        <v>844.23</v>
      </c>
      <c r="G17" s="28">
        <v>873.24</v>
      </c>
      <c r="H17" s="26">
        <v>100.44656077135376</v>
      </c>
      <c r="I17" s="28">
        <f>D17-Январь!D17</f>
        <v>44.18224000000009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f t="shared" si="0"/>
        <v>12.005700115008628</v>
      </c>
      <c r="F18" s="26">
        <v>5.74</v>
      </c>
      <c r="G18" s="28">
        <v>5.61</v>
      </c>
      <c r="H18" s="26">
        <v>87.10801393728222</v>
      </c>
      <c r="I18" s="28">
        <f>D18-Январь!D18</f>
        <v>2.6245300000000036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f t="shared" si="0"/>
        <v>8.97579414594501</v>
      </c>
      <c r="F19" s="26">
        <v>1158.41</v>
      </c>
      <c r="G19" s="28">
        <v>1157.81</v>
      </c>
      <c r="H19" s="26">
        <v>98.22170043421585</v>
      </c>
      <c r="I19" s="28">
        <f>D19-Январь!D19</f>
        <v>44.24974999999995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f t="shared" si="0"/>
        <v>7.946233123383732</v>
      </c>
      <c r="F20" s="26">
        <v>-155.2</v>
      </c>
      <c r="G20" s="35">
        <v>-177.1</v>
      </c>
      <c r="H20" s="26">
        <v>93.11211340206185</v>
      </c>
      <c r="I20" s="28">
        <f>D20-Январь!D20</f>
        <v>-91.05652000000003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f t="shared" si="0"/>
        <v>7.842038445347628</v>
      </c>
      <c r="F21" s="26">
        <v>7362.96</v>
      </c>
      <c r="G21" s="28">
        <v>13248.57</v>
      </c>
      <c r="H21" s="26">
        <v>121.96888208003303</v>
      </c>
      <c r="I21" s="28">
        <f>D21-Январь!D21</f>
        <v>4540.458009999997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f t="shared" si="0"/>
        <v>7.332523067912621</v>
      </c>
      <c r="F22" s="26"/>
      <c r="G22" s="28">
        <v>6204.66</v>
      </c>
      <c r="H22" s="26">
        <v>0</v>
      </c>
      <c r="I22" s="28">
        <f>D22-Январь!D22</f>
        <v>3477.7038699999985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 t="e">
        <f t="shared" si="0"/>
        <v>#DIV/0!</v>
      </c>
      <c r="F23" s="26">
        <v>7198.75</v>
      </c>
      <c r="G23" s="28">
        <v>6171.05</v>
      </c>
      <c r="H23" s="26">
        <v>76.55204028477166</v>
      </c>
      <c r="I23" s="28">
        <f>D23-Январь!D23</f>
        <v>-43.64063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f t="shared" si="0"/>
        <v>10.257991967871487</v>
      </c>
      <c r="F24" s="26">
        <v>113.58</v>
      </c>
      <c r="G24" s="35">
        <v>259.92</v>
      </c>
      <c r="H24" s="26">
        <v>228.84310618066564</v>
      </c>
      <c r="I24" s="28">
        <f>D24-Январь!D24</f>
        <v>0.19200000000000728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f t="shared" si="0"/>
        <v>10.266611048417433</v>
      </c>
      <c r="F25" s="26">
        <v>50.63</v>
      </c>
      <c r="G25" s="28">
        <v>612.94</v>
      </c>
      <c r="H25" s="26">
        <v>436.61860556982026</v>
      </c>
      <c r="I25" s="28">
        <f>D25-Январь!D25</f>
        <v>1106.2027699999999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f t="shared" si="0"/>
        <v>6.771969282474323</v>
      </c>
      <c r="F26" s="26">
        <v>2465.82</v>
      </c>
      <c r="G26" s="28">
        <v>2591.2599999999998</v>
      </c>
      <c r="H26" s="26">
        <v>52.357025249207155</v>
      </c>
      <c r="I26" s="28">
        <f>D26-Январь!D26</f>
        <v>1476.57951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f t="shared" si="0"/>
        <v>5.545592400334696</v>
      </c>
      <c r="F27" s="26">
        <v>536.1</v>
      </c>
      <c r="G27" s="35">
        <v>839.39</v>
      </c>
      <c r="H27" s="26">
        <v>103.20835664987875</v>
      </c>
      <c r="I27" s="28">
        <f>D27-Январь!D27</f>
        <v>621.13148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f t="shared" si="0"/>
        <v>8.55625527200974</v>
      </c>
      <c r="F28" s="26">
        <v>1929.72</v>
      </c>
      <c r="G28" s="28">
        <v>1751.87</v>
      </c>
      <c r="H28" s="26">
        <v>38.22989863814439</v>
      </c>
      <c r="I28" s="28">
        <f>D28-Январь!D28</f>
        <v>855.4480300000001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f t="shared" si="0"/>
        <v>13.223199031386793</v>
      </c>
      <c r="F29" s="26">
        <v>793.07</v>
      </c>
      <c r="G29" s="28">
        <v>2042.6499999999999</v>
      </c>
      <c r="H29" s="26">
        <v>87.45129685904145</v>
      </c>
      <c r="I29" s="28">
        <f>D29-Январь!D29</f>
        <v>1103.1370699999998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f t="shared" si="0"/>
        <v>13.186281968689602</v>
      </c>
      <c r="F30" s="26">
        <v>793.07</v>
      </c>
      <c r="G30" s="28">
        <v>2026.05</v>
      </c>
      <c r="H30" s="26">
        <v>87.24954922011928</v>
      </c>
      <c r="I30" s="28">
        <f>D30-Январь!D30</f>
        <v>1093.3370699999998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f t="shared" si="0"/>
        <v>9.523809523809524</v>
      </c>
      <c r="F31" s="26">
        <v>0</v>
      </c>
      <c r="G31" s="35">
        <v>1.6</v>
      </c>
      <c r="H31" s="26" t="s">
        <v>111</v>
      </c>
      <c r="I31" s="28">
        <f>D31-Январь!D31</f>
        <v>4.800000000000001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f t="shared" si="0"/>
        <v>30</v>
      </c>
      <c r="F32" s="26">
        <v>0</v>
      </c>
      <c r="G32" s="28">
        <v>15</v>
      </c>
      <c r="H32" s="26" t="s">
        <v>111</v>
      </c>
      <c r="I32" s="28">
        <f>D32-Январь!D32</f>
        <v>5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 t="shared" si="0"/>
        <v>#DIV/0!</v>
      </c>
      <c r="F33" s="26">
        <v>0</v>
      </c>
      <c r="G33" s="28">
        <v>0.02</v>
      </c>
      <c r="H33" s="26" t="s">
        <v>111</v>
      </c>
      <c r="I33" s="28">
        <f>D33-Январь!D33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 t="shared" si="0"/>
        <v>#DIV/0!</v>
      </c>
      <c r="F34" s="26">
        <v>0</v>
      </c>
      <c r="G34" s="35">
        <v>0</v>
      </c>
      <c r="H34" s="26" t="s">
        <v>111</v>
      </c>
      <c r="I34" s="28">
        <f>D34-Январь!D34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 t="shared" si="0"/>
        <v>#DIV/0!</v>
      </c>
      <c r="F35" s="26">
        <v>0</v>
      </c>
      <c r="G35" s="28">
        <v>0.02</v>
      </c>
      <c r="H35" s="26" t="s">
        <v>111</v>
      </c>
      <c r="I35" s="28">
        <f>D35-Январь!D35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f t="shared" si="0"/>
        <v>8.607672417637518</v>
      </c>
      <c r="F36" s="26">
        <v>3247.05</v>
      </c>
      <c r="G36" s="28">
        <v>6315.38</v>
      </c>
      <c r="H36" s="26">
        <v>91.78269506167136</v>
      </c>
      <c r="I36" s="28">
        <f>D36-Январь!D36</f>
        <v>2999.7060300000007</v>
      </c>
    </row>
    <row r="37" spans="1:9" ht="81.75" customHeight="1" hidden="1">
      <c r="A37" s="56" t="s">
        <v>114</v>
      </c>
      <c r="B37" s="28"/>
      <c r="C37" s="28"/>
      <c r="D37" s="28"/>
      <c r="E37" s="26" t="e">
        <f t="shared" si="0"/>
        <v>#DIV/0!</v>
      </c>
      <c r="F37" s="26"/>
      <c r="G37" s="28"/>
      <c r="H37" s="26" t="e">
        <v>#DIV/0!</v>
      </c>
      <c r="I37" s="28">
        <f>D37-Январь!D37</f>
        <v>0</v>
      </c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f t="shared" si="0"/>
        <v>9.87112054662883</v>
      </c>
      <c r="F38" s="26">
        <v>2393.3</v>
      </c>
      <c r="G38" s="28">
        <v>3538.1000000000004</v>
      </c>
      <c r="H38" s="26">
        <v>97.4570676471817</v>
      </c>
      <c r="I38" s="28">
        <f>D38-Январь!D38</f>
        <v>1856.8023000000005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f aca="true" t="shared" si="1" ref="E39:E72">$D:$D/$B:$B*100</f>
        <v>2.2148958779247985</v>
      </c>
      <c r="F39" s="26">
        <v>75.44</v>
      </c>
      <c r="G39" s="28">
        <v>14.79</v>
      </c>
      <c r="H39" s="26" t="s">
        <v>111</v>
      </c>
      <c r="I39" s="28">
        <f>D39-Январь!D39</f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f t="shared" si="1"/>
        <v>5.008301595831678</v>
      </c>
      <c r="F40" s="26">
        <v>3.43</v>
      </c>
      <c r="G40" s="28">
        <v>34.31</v>
      </c>
      <c r="H40" s="26">
        <v>528.2798833819242</v>
      </c>
      <c r="I40" s="28">
        <f>D40-Январь!D40</f>
        <v>17.930899999999998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f t="shared" si="1"/>
        <v>10.533012273702006</v>
      </c>
      <c r="F41" s="26">
        <v>538.73</v>
      </c>
      <c r="G41" s="28">
        <v>1858.72</v>
      </c>
      <c r="H41" s="26">
        <v>72.6653425649212</v>
      </c>
      <c r="I41" s="28">
        <f>D41-Январь!D41</f>
        <v>1027.6395799999998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>
        <f t="shared" si="1"/>
        <v>0</v>
      </c>
      <c r="F42" s="26"/>
      <c r="G42" s="27">
        <v>0</v>
      </c>
      <c r="H42" s="26"/>
      <c r="I42" s="28">
        <f>D42-Январь!D42</f>
        <v>0</v>
      </c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f t="shared" si="1"/>
        <v>0</v>
      </c>
      <c r="F43" s="26">
        <v>0</v>
      </c>
      <c r="G43" s="27">
        <v>0</v>
      </c>
      <c r="H43" s="26" t="s">
        <v>111</v>
      </c>
      <c r="I43" s="28">
        <f>D43-Январь!D43</f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f t="shared" si="1"/>
        <v>4.555599861771143</v>
      </c>
      <c r="F44" s="26">
        <v>236.15</v>
      </c>
      <c r="G44" s="35">
        <v>869.46</v>
      </c>
      <c r="H44" s="26">
        <v>100.86809231420706</v>
      </c>
      <c r="I44" s="28">
        <f>D44-Январь!D44</f>
        <v>97.33324999999999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f t="shared" si="1"/>
        <v>20.496800104316076</v>
      </c>
      <c r="F45" s="26">
        <v>43.6</v>
      </c>
      <c r="G45" s="28">
        <v>104.35</v>
      </c>
      <c r="H45" s="26">
        <v>29.495412844036693</v>
      </c>
      <c r="I45" s="28">
        <f>D45-Январь!D45</f>
        <v>60.933589999999995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f t="shared" si="1"/>
        <v>6.983245798730422</v>
      </c>
      <c r="F46" s="26">
        <v>561.58</v>
      </c>
      <c r="G46" s="28">
        <v>481.81</v>
      </c>
      <c r="H46" s="26">
        <v>83.484098436554</v>
      </c>
      <c r="I46" s="28">
        <f>D46-Январь!D46</f>
        <v>67.80102000000001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f t="shared" si="1"/>
        <v>15.34772153846154</v>
      </c>
      <c r="F47" s="26">
        <v>585.5</v>
      </c>
      <c r="G47" s="28">
        <v>90.34</v>
      </c>
      <c r="H47" s="26">
        <v>7.185311699402221</v>
      </c>
      <c r="I47" s="28">
        <f>D47-Январь!D47</f>
        <v>324.83751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 t="shared" si="1"/>
        <v>#DIV/0!</v>
      </c>
      <c r="F48" s="26">
        <v>0</v>
      </c>
      <c r="G48" s="35">
        <v>0</v>
      </c>
      <c r="H48" s="26" t="s">
        <v>111</v>
      </c>
      <c r="I48" s="28">
        <f>D48-Январь!D48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 t="shared" si="1"/>
        <v>#DIV/0!</v>
      </c>
      <c r="F49" s="26">
        <v>37.14</v>
      </c>
      <c r="G49" s="28">
        <v>0</v>
      </c>
      <c r="H49" s="26">
        <v>0</v>
      </c>
      <c r="I49" s="28">
        <f>D49-Январь!D49</f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f t="shared" si="1"/>
        <v>15.34772153846154</v>
      </c>
      <c r="F50" s="26">
        <v>548.36</v>
      </c>
      <c r="G50" s="28">
        <v>90.34</v>
      </c>
      <c r="H50" s="26">
        <v>7.671967320738202</v>
      </c>
      <c r="I50" s="28">
        <f>D50-Январь!D50</f>
        <v>324.83751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f t="shared" si="1"/>
        <v>6.081964624858519</v>
      </c>
      <c r="F51" s="26">
        <v>179.73</v>
      </c>
      <c r="G51" s="28">
        <v>253.91</v>
      </c>
      <c r="H51" s="26">
        <v>44.182941078284095</v>
      </c>
      <c r="I51" s="28">
        <f>D51-Январь!D51</f>
        <v>211.16076000000004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 t="shared" si="1"/>
        <v>0</v>
      </c>
      <c r="F52" s="26"/>
      <c r="G52" s="28"/>
      <c r="H52" s="26" t="e">
        <v>#DIV/0!</v>
      </c>
      <c r="I52" s="28">
        <f>D52-Январь!D52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 t="shared" si="1"/>
        <v>0</v>
      </c>
      <c r="F53" s="26"/>
      <c r="G53" s="28"/>
      <c r="H53" s="26" t="e">
        <v>#DIV/0!</v>
      </c>
      <c r="I53" s="28">
        <f>D53-Январь!D53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 t="shared" si="1"/>
        <v>0</v>
      </c>
      <c r="F54" s="26"/>
      <c r="G54" s="28"/>
      <c r="H54" s="26" t="e">
        <v>#DIV/0!</v>
      </c>
      <c r="I54" s="28">
        <f>D54-Январь!D54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 t="shared" si="1"/>
        <v>0</v>
      </c>
      <c r="F55" s="26"/>
      <c r="G55" s="28"/>
      <c r="H55" s="26" t="s">
        <v>112</v>
      </c>
      <c r="I55" s="28">
        <f>D55-Январь!D55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 t="shared" si="1"/>
        <v>0</v>
      </c>
      <c r="F56" s="26"/>
      <c r="G56" s="28"/>
      <c r="H56" s="26" t="e">
        <v>#DIV/0!</v>
      </c>
      <c r="I56" s="28">
        <f>D56-Январь!D56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 t="shared" si="1"/>
        <v>0</v>
      </c>
      <c r="F57" s="26"/>
      <c r="G57" s="28"/>
      <c r="H57" s="26" t="e">
        <v>#DIV/0!</v>
      </c>
      <c r="I57" s="28">
        <f>D57-Январь!D57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 t="shared" si="1"/>
        <v>0</v>
      </c>
      <c r="F58" s="26"/>
      <c r="G58" s="28"/>
      <c r="H58" s="26" t="e">
        <v>#DIV/0!</v>
      </c>
      <c r="I58" s="28">
        <f>D58-Январь!D58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 t="shared" si="1"/>
        <v>0</v>
      </c>
      <c r="F59" s="26"/>
      <c r="G59" s="27"/>
      <c r="H59" s="26" t="e">
        <v>#DIV/0!</v>
      </c>
      <c r="I59" s="28">
        <f>D59-Январь!D59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 t="shared" si="1"/>
        <v>0</v>
      </c>
      <c r="F60" s="26"/>
      <c r="G60" s="35"/>
      <c r="H60" s="26" t="s">
        <v>111</v>
      </c>
      <c r="I60" s="28">
        <f>D60-Январь!D60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 t="shared" si="1"/>
        <v>0</v>
      </c>
      <c r="F61" s="26"/>
      <c r="G61" s="35"/>
      <c r="H61" s="26" t="s">
        <v>112</v>
      </c>
      <c r="I61" s="28">
        <f>D61-Январь!D61</f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f t="shared" si="1"/>
        <v>68.99164</v>
      </c>
      <c r="F62" s="26">
        <v>-38.79</v>
      </c>
      <c r="G62" s="35">
        <v>4.08</v>
      </c>
      <c r="H62" s="26">
        <v>-18.45836555813354</v>
      </c>
      <c r="I62" s="28">
        <f>D62-Январь!D62</f>
        <v>34.49582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f t="shared" si="1"/>
        <v>16.849393183722206</v>
      </c>
      <c r="F63" s="26">
        <v>27699.089999999997</v>
      </c>
      <c r="G63" s="28">
        <v>61965.03999999999</v>
      </c>
      <c r="H63" s="26">
        <v>96.62342697900908</v>
      </c>
      <c r="I63" s="28">
        <f>D63-Январь!D63</f>
        <v>79102.78616999999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f t="shared" si="1"/>
        <v>7.468858766303558</v>
      </c>
      <c r="F64" s="26">
        <v>43822.57000000001</v>
      </c>
      <c r="G64" s="28">
        <v>180429.16</v>
      </c>
      <c r="H64" s="26">
        <v>103.7277138241778</v>
      </c>
      <c r="I64" s="28">
        <f>D64-Январь!D64</f>
        <v>155561.83352999997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f t="shared" si="1"/>
        <v>8.508096747824231</v>
      </c>
      <c r="F65" s="26">
        <v>46091.770000000004</v>
      </c>
      <c r="G65" s="28">
        <v>183274.46</v>
      </c>
      <c r="H65" s="26">
        <v>114.15588943535906</v>
      </c>
      <c r="I65" s="28">
        <f>D65-Январь!D65</f>
        <v>155581.81314999997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f t="shared" si="1"/>
        <v>18.0847684395398</v>
      </c>
      <c r="F66" s="26">
        <v>15902.8</v>
      </c>
      <c r="G66" s="28">
        <v>70967</v>
      </c>
      <c r="H66" s="26">
        <v>109.8963704504867</v>
      </c>
      <c r="I66" s="28">
        <f>D66-Январь!D66</f>
        <v>64680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f t="shared" si="1"/>
        <v>0.7876527985187052</v>
      </c>
      <c r="F67" s="26">
        <v>0</v>
      </c>
      <c r="G67" s="28">
        <v>4363.09</v>
      </c>
      <c r="H67" s="26">
        <v>0</v>
      </c>
      <c r="I67" s="28">
        <f>D67-Январь!D67</f>
        <v>5935.714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f t="shared" si="1"/>
        <v>10.451247652574995</v>
      </c>
      <c r="F68" s="26">
        <v>30188.97</v>
      </c>
      <c r="G68" s="27">
        <v>104153.94</v>
      </c>
      <c r="H68" s="26">
        <v>116.39969830040575</v>
      </c>
      <c r="I68" s="28">
        <f>D68-Январь!D68</f>
        <v>81033.73915000001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f t="shared" si="1"/>
        <v>8.347825348572593</v>
      </c>
      <c r="F69" s="26">
        <v>0</v>
      </c>
      <c r="G69" s="35">
        <v>3790.43</v>
      </c>
      <c r="H69" s="26" t="s">
        <v>111</v>
      </c>
      <c r="I69" s="28">
        <f>D69-Январь!D69</f>
        <v>3932.36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 t="shared" si="1"/>
        <v>0</v>
      </c>
      <c r="F70" s="26">
        <v>0</v>
      </c>
      <c r="G70" s="35"/>
      <c r="H70" s="26" t="s">
        <v>112</v>
      </c>
      <c r="I70" s="28">
        <f>D70-Январь!D70</f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e">
        <f t="shared" si="1"/>
        <v>#DIV/0!</v>
      </c>
      <c r="F71" s="26">
        <v>-2269.2</v>
      </c>
      <c r="G71" s="35">
        <v>-2845.2999999999993</v>
      </c>
      <c r="H71" s="26">
        <v>315.5438039837828</v>
      </c>
      <c r="I71" s="28">
        <f>D71-Январь!D71</f>
        <v>-19.979620000001887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f t="shared" si="1"/>
        <v>9.500092729647788</v>
      </c>
      <c r="F72" s="26">
        <v>71521.66</v>
      </c>
      <c r="G72" s="35">
        <v>242394.2</v>
      </c>
      <c r="H72" s="26">
        <v>100.97634758477363</v>
      </c>
      <c r="I72" s="28">
        <f>D72-Январь!D72</f>
        <v>234664.6197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10621.13002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D79-Январь!D79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D80-Январь!D80</f>
        <v>479.71619999999996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>D81-Январь!D81</f>
        <v>4710.31301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D82-Январь!D82</f>
        <v>0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D83-Январь!D83</f>
        <v>1466.3666200000002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D84-Январь!D84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D85-Январь!D85</f>
        <v>0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D86-Январь!D86</f>
        <v>3950.734190000001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D87-Январь!D87</f>
        <v>9.999179999999996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>D88-Январь!D88</f>
        <v>423.76890999999995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>D89-Январь!D89</f>
        <v>4202.473539999999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>D90-Январь!D90</f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D91-Январь!D91</f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>D92-Январь!D92</f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>D93-Январь!D93</f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>D94-Январь!D94</f>
        <v>341.91288999999983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>D95-Январь!D95</f>
        <v>5632.406570000001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>D96-Январь!D96</f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>D97-Январь!D97</f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>D98-Январь!D98</f>
        <v>3446.9204900000004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>D99-Январь!D99</f>
        <v>2185.48608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6">
        <f>D100-Январь!D100</f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>D101-Январь!D101</f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>D102-Январь!D102</f>
        <v>137012.29303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 aca="true" t="shared" si="2" ref="E103:E120">$D:$D/$B:$B*100</f>
        <v>11.860899546693586</v>
      </c>
      <c r="F103" s="29">
        <f aca="true" t="shared" si="3" ref="F103:F111">$D:$D/$C:$C*100</f>
        <v>99.99399044436062</v>
      </c>
      <c r="G103" s="36">
        <v>67351.3</v>
      </c>
      <c r="H103" s="29">
        <f>$D:$D/$G:$G*100</f>
        <v>105.94509241840915</v>
      </c>
      <c r="I103" s="36">
        <f>D103-Январь!D103</f>
        <v>52194.96703000001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 t="shared" si="2"/>
        <v>11.4489228474869</v>
      </c>
      <c r="F104" s="29">
        <f t="shared" si="3"/>
        <v>98.57795583898442</v>
      </c>
      <c r="G104" s="36">
        <v>66726.5</v>
      </c>
      <c r="H104" s="29">
        <f>$D:$D/$G:$G*100</f>
        <v>109.25005852247607</v>
      </c>
      <c r="I104" s="36">
        <f>D104-Январь!D104</f>
        <v>54272.92029999999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 t="shared" si="2"/>
        <v>10.763162269968166</v>
      </c>
      <c r="F105" s="29">
        <f t="shared" si="3"/>
        <v>97.16130038169194</v>
      </c>
      <c r="G105" s="36">
        <v>14222.7</v>
      </c>
      <c r="H105" s="29">
        <f>$D:$D/$G:$G*100</f>
        <v>106.80098841992024</v>
      </c>
      <c r="I105" s="36">
        <f>D105-Январь!D105</f>
        <v>11992.874179999999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 t="shared" si="2"/>
        <v>0.9619501780194384</v>
      </c>
      <c r="F106" s="29">
        <f t="shared" si="3"/>
        <v>100</v>
      </c>
      <c r="G106" s="36">
        <v>55.2</v>
      </c>
      <c r="H106" s="29">
        <v>0</v>
      </c>
      <c r="I106" s="36">
        <f>D106-Январь!D106</f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 t="shared" si="2"/>
        <v>4.713235479298965</v>
      </c>
      <c r="F107" s="29">
        <f t="shared" si="3"/>
        <v>100</v>
      </c>
      <c r="G107" s="36">
        <v>2633.9</v>
      </c>
      <c r="H107" s="29">
        <f>$D:$D/$G:$G*100</f>
        <v>93.57709328372376</v>
      </c>
      <c r="I107" s="36">
        <f>D107-Январь!D107</f>
        <v>1917.88706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 t="shared" si="2"/>
        <v>11.802365963271463</v>
      </c>
      <c r="F108" s="29">
        <f t="shared" si="3"/>
        <v>97.93147919612794</v>
      </c>
      <c r="G108" s="28">
        <v>18299.3</v>
      </c>
      <c r="H108" s="29">
        <f>$D:$D/$G:$G*100</f>
        <v>110.72415043198376</v>
      </c>
      <c r="I108" s="36">
        <f>D108-Январь!D108</f>
        <v>16617.24446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 t="shared" si="2"/>
        <v>5.1917560616725655</v>
      </c>
      <c r="F109" s="26">
        <f t="shared" si="3"/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>D109-Январь!D109</f>
        <v>11222.80097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 t="shared" si="2"/>
        <v>7.284454051862325</v>
      </c>
      <c r="F110" s="29">
        <f t="shared" si="3"/>
        <v>92.28348798699996</v>
      </c>
      <c r="G110" s="36">
        <v>13061.8</v>
      </c>
      <c r="H110" s="29">
        <f>$D:$D/$G:$G*100</f>
        <v>109.83559693151021</v>
      </c>
      <c r="I110" s="36">
        <f>D110-Январь!D110</f>
        <v>11006.506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 t="shared" si="2"/>
        <v>0.32285456652107813</v>
      </c>
      <c r="F111" s="29">
        <f t="shared" si="3"/>
        <v>76.8745095749203</v>
      </c>
      <c r="G111" s="36">
        <v>359.4</v>
      </c>
      <c r="H111" s="29">
        <v>0</v>
      </c>
      <c r="I111" s="36">
        <f>D111-Январь!D111</f>
        <v>216.29496999999998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5">
        <f>D112-Январь!D112</f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D113-Январь!D113</f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 t="shared" si="2"/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5">
        <f>I115+I116+I117+I118</f>
        <v>6886.56276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 t="shared" si="2"/>
        <v>7.250933929031704</v>
      </c>
      <c r="F115" s="29">
        <v>0</v>
      </c>
      <c r="G115" s="36">
        <v>231.7</v>
      </c>
      <c r="H115" s="29">
        <v>0</v>
      </c>
      <c r="I115" s="36">
        <f>D115-Январь!D115</f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 t="shared" si="2"/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>D116-Январь!D117</f>
        <v>6300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 t="shared" si="2"/>
        <v>0.6091334848897219</v>
      </c>
      <c r="F117" s="29">
        <v>0</v>
      </c>
      <c r="G117" s="28">
        <v>623.4</v>
      </c>
      <c r="H117" s="29">
        <v>0</v>
      </c>
      <c r="I117" s="36">
        <f>D117-Январь!D118</f>
        <v>257.29483000000005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 t="shared" si="2"/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>D118-Январь!D119</f>
        <v>118.28388000000001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 t="shared" si="2"/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5">
        <f>I120+I121+I122</f>
        <v>6771.508979999999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 t="shared" si="2"/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>D120-Январь!D121</f>
        <v>6117.332849999999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>D121-Январь!D122</f>
        <v>281.49014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>D122-Январь!D123</f>
        <v>372.68598999999995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5">
        <f>D123-Январь!D124</f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>D124-Январь!D124</f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D125-Январь!D126</f>
        <v>182784.95780000003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5">
        <f>D126-Январь!D127</f>
        <v>51879.66189999998</v>
      </c>
    </row>
    <row r="127" spans="1:9" ht="24" customHeight="1">
      <c r="A127" s="1" t="s">
        <v>57</v>
      </c>
      <c r="B127" s="28" t="s">
        <v>165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83341.6</v>
      </c>
      <c r="E128" s="28"/>
      <c r="F128" s="28"/>
      <c r="G128" s="27">
        <f>G130+G131</f>
        <v>36272.2</v>
      </c>
      <c r="H128" s="37"/>
      <c r="I128" s="28">
        <f>D128</f>
        <v>83341.6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Январь!B131</f>
        <v>24892.3</v>
      </c>
      <c r="C130" s="28"/>
      <c r="D130" s="28">
        <v>3594.5</v>
      </c>
      <c r="E130" s="28"/>
      <c r="F130" s="28"/>
      <c r="G130" s="28">
        <v>7051.7</v>
      </c>
      <c r="H130" s="37"/>
      <c r="I130" s="28">
        <f>D130</f>
        <v>3594.5</v>
      </c>
    </row>
    <row r="131" spans="1:9" ht="12.75">
      <c r="A131" s="1" t="s">
        <v>60</v>
      </c>
      <c r="B131" s="44">
        <f>Январь!B132</f>
        <v>17979.4</v>
      </c>
      <c r="C131" s="28"/>
      <c r="D131" s="28">
        <f>83341.6-3594.5</f>
        <v>79747.1</v>
      </c>
      <c r="E131" s="28"/>
      <c r="F131" s="28"/>
      <c r="G131" s="28">
        <f>36272.2-G130</f>
        <v>29220.499999999996</v>
      </c>
      <c r="H131" s="37"/>
      <c r="I131" s="28">
        <f>D131</f>
        <v>79747.1</v>
      </c>
    </row>
    <row r="132" spans="1:9" ht="12.75">
      <c r="A132" s="3" t="s">
        <v>99</v>
      </c>
      <c r="B132" s="43">
        <f>B133-B134</f>
        <v>64460</v>
      </c>
      <c r="C132" s="43"/>
      <c r="D132" s="43">
        <f>D133-D134</f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>
        <v>0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0" sqref="H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159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177015.27240000002</v>
      </c>
      <c r="D7" s="35">
        <f>D8+D16+D21+D26+D29+D36+D45+D46+D47+D51+D62</f>
        <v>170232.49980000005</v>
      </c>
      <c r="E7" s="26">
        <f aca="true" t="shared" si="0" ref="E7:E38">$D:$D/$B:$B*100</f>
        <v>25.277577041056798</v>
      </c>
      <c r="F7" s="26">
        <v>27699.089999999997</v>
      </c>
      <c r="G7" s="35">
        <f>G8+G15+G20+G24+G27+G31+G34+G43+G44+G45+G49+G60</f>
        <v>65130.18</v>
      </c>
      <c r="H7" s="26">
        <v>96.62342697900908</v>
      </c>
      <c r="I7" s="35">
        <f>D7-Февраль!D7</f>
        <v>56759.82332000004</v>
      </c>
    </row>
    <row r="8" spans="1:9" ht="12.75">
      <c r="A8" s="52" t="s">
        <v>4</v>
      </c>
      <c r="B8" s="26">
        <f>B9+B10</f>
        <v>340235.9</v>
      </c>
      <c r="C8" s="26">
        <f>C9+C10</f>
        <v>115931.95000000001</v>
      </c>
      <c r="D8" s="26">
        <f>D9+D10</f>
        <v>110052.13650000001</v>
      </c>
      <c r="E8" s="26">
        <f t="shared" si="0"/>
        <v>32.34583314106477</v>
      </c>
      <c r="F8" s="26">
        <v>10645.39</v>
      </c>
      <c r="G8" s="26">
        <f>G9+G10</f>
        <v>62680.98999999999</v>
      </c>
      <c r="H8" s="26">
        <v>97.3363117743925</v>
      </c>
      <c r="I8" s="35">
        <f>D8-Февраль!D8</f>
        <v>24849.908630000005</v>
      </c>
    </row>
    <row r="9" spans="1:9" ht="25.5">
      <c r="A9" s="53" t="s">
        <v>5</v>
      </c>
      <c r="B9" s="27">
        <f>8446300/1000</f>
        <v>8446.3</v>
      </c>
      <c r="C9" s="27">
        <f>3000000/1000</f>
        <v>3000</v>
      </c>
      <c r="D9" s="27">
        <f>2018091.26/1000</f>
        <v>2018.09126</v>
      </c>
      <c r="E9" s="26">
        <f t="shared" si="0"/>
        <v>23.89319891550146</v>
      </c>
      <c r="F9" s="26">
        <v>200.86</v>
      </c>
      <c r="G9" s="27">
        <v>3677.86</v>
      </c>
      <c r="H9" s="26">
        <v>232.3508911679777</v>
      </c>
      <c r="I9" s="35">
        <f>D9-Февраль!D9</f>
        <v>1209.89226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112931.95000000001</v>
      </c>
      <c r="D10" s="46">
        <f>SUM(D11:D15)</f>
        <v>108034.04524</v>
      </c>
      <c r="E10" s="26">
        <f t="shared" si="0"/>
        <v>32.56101012207736</v>
      </c>
      <c r="F10" s="26">
        <v>10444.529999999999</v>
      </c>
      <c r="G10" s="46">
        <f>G11+G12+G13+G14</f>
        <v>59003.12999999999</v>
      </c>
      <c r="H10" s="47">
        <v>94.7398303226665</v>
      </c>
      <c r="I10" s="35">
        <f>D10-Февраль!D10</f>
        <v>23640.016369999998</v>
      </c>
    </row>
    <row r="11" spans="1:9" ht="51">
      <c r="A11" s="56" t="s">
        <v>74</v>
      </c>
      <c r="B11" s="28">
        <f>316825700/1000</f>
        <v>316825.7</v>
      </c>
      <c r="C11" s="28">
        <v>65473.57</v>
      </c>
      <c r="D11" s="28">
        <f>59420453.9/1000</f>
        <v>59420.4539</v>
      </c>
      <c r="E11" s="26">
        <f t="shared" si="0"/>
        <v>18.754934937411956</v>
      </c>
      <c r="F11" s="26">
        <v>10058</v>
      </c>
      <c r="G11" s="28">
        <v>57699.56999999999</v>
      </c>
      <c r="H11" s="26">
        <v>96.26963611055875</v>
      </c>
      <c r="I11" s="35">
        <f>D11-Февраль!D11</f>
        <v>22295.59399</v>
      </c>
    </row>
    <row r="12" spans="1:9" ht="94.5" customHeight="1">
      <c r="A12" s="56" t="s">
        <v>75</v>
      </c>
      <c r="B12" s="28">
        <f>6481500/1000</f>
        <v>6481.5</v>
      </c>
      <c r="C12" s="28">
        <f>241100/1000</f>
        <v>241.1</v>
      </c>
      <c r="D12" s="28">
        <f>115505.25/1000</f>
        <v>115.50525</v>
      </c>
      <c r="E12" s="26">
        <f t="shared" si="0"/>
        <v>1.7820759083545474</v>
      </c>
      <c r="F12" s="26">
        <v>81.56</v>
      </c>
      <c r="G12" s="28">
        <v>157.17</v>
      </c>
      <c r="H12" s="26">
        <v>54.54879843060324</v>
      </c>
      <c r="I12" s="35">
        <f>D12-Февраль!D12</f>
        <v>35.90173</v>
      </c>
    </row>
    <row r="13" spans="1:9" ht="25.5">
      <c r="A13" s="56" t="s">
        <v>76</v>
      </c>
      <c r="B13" s="28">
        <f>3576400/1000</f>
        <v>3576.4</v>
      </c>
      <c r="C13" s="28">
        <v>437</v>
      </c>
      <c r="D13" s="28">
        <f>1130172.48/1000</f>
        <v>1130.17248</v>
      </c>
      <c r="E13" s="26">
        <f t="shared" si="0"/>
        <v>31.600841069231628</v>
      </c>
      <c r="F13" s="26">
        <v>117.15</v>
      </c>
      <c r="G13" s="28">
        <v>309.3</v>
      </c>
      <c r="H13" s="26">
        <v>38.01109688433632</v>
      </c>
      <c r="I13" s="35">
        <f>D13-Февраль!D13</f>
        <v>629.2444699999999</v>
      </c>
    </row>
    <row r="14" spans="1:9" ht="63.75">
      <c r="A14" s="56" t="s">
        <v>78</v>
      </c>
      <c r="B14" s="28">
        <f>2580100/1000</f>
        <v>2580.1</v>
      </c>
      <c r="C14" s="28">
        <f>533300/1000</f>
        <v>533.3</v>
      </c>
      <c r="D14" s="28">
        <f>806020.05/1000</f>
        <v>806.0200500000001</v>
      </c>
      <c r="E14" s="26">
        <f t="shared" si="0"/>
        <v>31.23987636138135</v>
      </c>
      <c r="F14" s="26">
        <v>187.82</v>
      </c>
      <c r="G14" s="28">
        <v>837.0899999999999</v>
      </c>
      <c r="H14" s="26">
        <v>64.24235970610158</v>
      </c>
      <c r="I14" s="35">
        <f>D14-Февраль!D14</f>
        <v>364.3647000000001</v>
      </c>
    </row>
    <row r="15" spans="1:9" ht="37.5" customHeight="1">
      <c r="A15" s="56" t="s">
        <v>145</v>
      </c>
      <c r="B15" s="36">
        <f>2325900/1000</f>
        <v>2325.9</v>
      </c>
      <c r="C15" s="36">
        <v>46246.98</v>
      </c>
      <c r="D15" s="36">
        <f>46561893.56/1000</f>
        <v>46561.893560000004</v>
      </c>
      <c r="E15" s="26">
        <f t="shared" si="0"/>
        <v>2001.8871645384581</v>
      </c>
      <c r="F15" s="26"/>
      <c r="G15" s="35">
        <v>0</v>
      </c>
      <c r="H15" s="26">
        <v>0</v>
      </c>
      <c r="I15" s="35">
        <f>D15-Февраль!D15</f>
        <v>314.9114800000025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12242.11</v>
      </c>
      <c r="D16" s="27">
        <f>SUM(D17:D20)</f>
        <v>14336.207300000002</v>
      </c>
      <c r="E16" s="26">
        <f t="shared" si="0"/>
        <v>25.79009779623419</v>
      </c>
      <c r="F16" s="26">
        <v>1853.18</v>
      </c>
      <c r="G16" s="35">
        <f>G17+G18+G19+G20</f>
        <v>5160.460000000001</v>
      </c>
      <c r="H16" s="26">
        <v>99.62874626318005</v>
      </c>
      <c r="I16" s="35">
        <f>D16-Февраль!D16</f>
        <v>9129.618870000002</v>
      </c>
    </row>
    <row r="17" spans="1:9" ht="37.5" customHeight="1">
      <c r="A17" s="39" t="s">
        <v>83</v>
      </c>
      <c r="B17" s="84">
        <f>25133060/1000</f>
        <v>25133.06</v>
      </c>
      <c r="C17" s="84">
        <f>5429200/1000</f>
        <v>5429.2</v>
      </c>
      <c r="D17" s="84">
        <f>6885031.15/1000</f>
        <v>6885.031150000001</v>
      </c>
      <c r="E17" s="26">
        <f t="shared" si="0"/>
        <v>27.39432106556066</v>
      </c>
      <c r="F17" s="26">
        <v>844.23</v>
      </c>
      <c r="G17" s="28">
        <v>2341.92</v>
      </c>
      <c r="H17" s="26">
        <v>100.44656077135376</v>
      </c>
      <c r="I17" s="35">
        <f>D17-Февраль!D17</f>
        <v>4448.680470000001</v>
      </c>
    </row>
    <row r="18" spans="1:9" ht="56.25" customHeight="1">
      <c r="A18" s="39" t="s">
        <v>84</v>
      </c>
      <c r="B18" s="84">
        <f>139120/1000</f>
        <v>139.12</v>
      </c>
      <c r="C18" s="84">
        <f>35390/1000</f>
        <v>35.39</v>
      </c>
      <c r="D18" s="84">
        <f>44117.58/1000</f>
        <v>44.117580000000004</v>
      </c>
      <c r="E18" s="26">
        <f t="shared" si="0"/>
        <v>31.711889016676253</v>
      </c>
      <c r="F18" s="26">
        <v>5.74</v>
      </c>
      <c r="G18" s="28">
        <v>15.27</v>
      </c>
      <c r="H18" s="26">
        <v>87.10801393728222</v>
      </c>
      <c r="I18" s="35">
        <f>D18-Февраль!D18</f>
        <v>27.41525</v>
      </c>
    </row>
    <row r="19" spans="1:9" ht="55.5" customHeight="1">
      <c r="A19" s="39" t="s">
        <v>85</v>
      </c>
      <c r="B19" s="84">
        <f>33467400/1000</f>
        <v>33467.4</v>
      </c>
      <c r="C19" s="84">
        <f>7697900/1000</f>
        <v>7697.9</v>
      </c>
      <c r="D19" s="84">
        <f>8330774.04/1000</f>
        <v>8330.77404</v>
      </c>
      <c r="E19" s="26">
        <f t="shared" si="0"/>
        <v>24.892205668800084</v>
      </c>
      <c r="F19" s="26">
        <v>1158.41</v>
      </c>
      <c r="G19" s="28">
        <v>3287.01</v>
      </c>
      <c r="H19" s="26">
        <v>98.22170043421585</v>
      </c>
      <c r="I19" s="35">
        <f>D19-Февраль!D19</f>
        <v>5326.80911</v>
      </c>
    </row>
    <row r="20" spans="1:9" ht="15.75" customHeight="1">
      <c r="A20" s="39" t="s">
        <v>86</v>
      </c>
      <c r="B20" s="84">
        <f>-3151550/1000</f>
        <v>-3151.55</v>
      </c>
      <c r="C20" s="84">
        <f>-920380/1000</f>
        <v>-920.38</v>
      </c>
      <c r="D20" s="84">
        <f>-923715.47/1000</f>
        <v>-923.71547</v>
      </c>
      <c r="E20" s="26">
        <f t="shared" si="0"/>
        <v>29.309878313845566</v>
      </c>
      <c r="F20" s="26">
        <v>-155.2</v>
      </c>
      <c r="G20" s="28">
        <v>-483.74</v>
      </c>
      <c r="H20" s="26">
        <v>93.11211340206185</v>
      </c>
      <c r="I20" s="35">
        <f>D20-Февраль!D20</f>
        <v>-673.2859599999999</v>
      </c>
    </row>
    <row r="21" spans="1:9" ht="12.75">
      <c r="A21" s="59" t="s">
        <v>7</v>
      </c>
      <c r="B21" s="27">
        <f>SUM(B22:B25)</f>
        <v>134216.5</v>
      </c>
      <c r="C21" s="27">
        <f>SUM(C22:C25)</f>
        <v>25187.032890000002</v>
      </c>
      <c r="D21" s="27">
        <f>SUM(D22:D25)</f>
        <v>24687.845930000003</v>
      </c>
      <c r="E21" s="26">
        <f t="shared" si="0"/>
        <v>18.394046879482033</v>
      </c>
      <c r="F21" s="26">
        <v>7362.96</v>
      </c>
      <c r="G21" s="35">
        <f>G22+G23+G24+G25</f>
        <v>8556.83</v>
      </c>
      <c r="H21" s="26">
        <v>121.96888208003303</v>
      </c>
      <c r="I21" s="35">
        <f>D21-Февраль!D21</f>
        <v>14162.536400000005</v>
      </c>
    </row>
    <row r="22" spans="1:9" ht="28.5" customHeight="1">
      <c r="A22" s="56" t="s">
        <v>146</v>
      </c>
      <c r="B22" s="28">
        <f>110640700/1000</f>
        <v>110640.7</v>
      </c>
      <c r="C22" s="28">
        <f>17000000/1000</f>
        <v>17000</v>
      </c>
      <c r="D22" s="28">
        <f>16433323.62/1000</f>
        <v>16433.32362</v>
      </c>
      <c r="E22" s="26">
        <f t="shared" si="0"/>
        <v>14.852873870103858</v>
      </c>
      <c r="F22" s="26"/>
      <c r="G22" s="28">
        <v>0</v>
      </c>
      <c r="H22" s="26">
        <v>0</v>
      </c>
      <c r="I22" s="35">
        <f>D22-Февраль!D22</f>
        <v>8320.56877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67489.42/1000</f>
        <v>67.48942</v>
      </c>
      <c r="E23" s="26" t="e">
        <f t="shared" si="0"/>
        <v>#DIV/0!</v>
      </c>
      <c r="F23" s="26">
        <v>7198.75</v>
      </c>
      <c r="G23" s="28">
        <v>8200.54</v>
      </c>
      <c r="H23" s="26">
        <v>76.55204028477166</v>
      </c>
      <c r="I23" s="35">
        <f>D23-Февраль!D23</f>
        <v>75.26312</v>
      </c>
    </row>
    <row r="24" spans="1:9" ht="15" customHeight="1">
      <c r="A24" s="56" t="s">
        <v>87</v>
      </c>
      <c r="B24" s="36">
        <f>1245000/1000</f>
        <v>1245</v>
      </c>
      <c r="C24" s="36">
        <f>270118.75/1000</f>
        <v>270.11875</v>
      </c>
      <c r="D24" s="36">
        <f>270118.75/1000</f>
        <v>270.11875</v>
      </c>
      <c r="E24" s="26">
        <f t="shared" si="0"/>
        <v>21.696285140562246</v>
      </c>
      <c r="F24" s="26">
        <v>113.58</v>
      </c>
      <c r="G24" s="28">
        <v>122.23</v>
      </c>
      <c r="H24" s="26">
        <v>228.84310618066564</v>
      </c>
      <c r="I24" s="35">
        <f>D24-Февраль!D24</f>
        <v>142.40675</v>
      </c>
    </row>
    <row r="25" spans="1:9" ht="27" customHeight="1">
      <c r="A25" s="56" t="s">
        <v>88</v>
      </c>
      <c r="B25" s="28">
        <f>22330800/1000</f>
        <v>22330.8</v>
      </c>
      <c r="C25" s="28">
        <f>7916914.14/1000</f>
        <v>7916.91414</v>
      </c>
      <c r="D25" s="28">
        <f>7916914.14/1000</f>
        <v>7916.91414</v>
      </c>
      <c r="E25" s="26">
        <f t="shared" si="0"/>
        <v>35.45289080552421</v>
      </c>
      <c r="F25" s="26">
        <v>50.63</v>
      </c>
      <c r="G25" s="28">
        <v>234.06</v>
      </c>
      <c r="H25" s="26">
        <v>436.61860556982026</v>
      </c>
      <c r="I25" s="35">
        <f>D25-Февраль!D25</f>
        <v>5624.2977599999995</v>
      </c>
    </row>
    <row r="26" spans="1:9" ht="12.75">
      <c r="A26" s="59" t="s">
        <v>8</v>
      </c>
      <c r="B26" s="27">
        <f>SUM(B27:B28)</f>
        <v>42549</v>
      </c>
      <c r="C26" s="27">
        <f>SUM(C27:C28)</f>
        <v>4928.21943</v>
      </c>
      <c r="D26" s="27">
        <f>SUM(D27:D28)</f>
        <v>4871.59875</v>
      </c>
      <c r="E26" s="26">
        <f t="shared" si="0"/>
        <v>11.449384826905451</v>
      </c>
      <c r="F26" s="26">
        <v>2465.82</v>
      </c>
      <c r="G26" s="27">
        <v>4251.030000000001</v>
      </c>
      <c r="H26" s="26">
        <v>52.357025249207155</v>
      </c>
      <c r="I26" s="35">
        <f>D26-Февраль!D26</f>
        <v>1990.1935400000002</v>
      </c>
    </row>
    <row r="27" spans="1:9" ht="12.75">
      <c r="A27" s="56" t="s">
        <v>106</v>
      </c>
      <c r="B27" s="36">
        <f>25216900/1000</f>
        <v>25216.9</v>
      </c>
      <c r="C27" s="36">
        <f>2008973.14/1000</f>
        <v>2008.9731399999998</v>
      </c>
      <c r="D27" s="36">
        <f>2008973.14/1000</f>
        <v>2008.9731399999998</v>
      </c>
      <c r="E27" s="26">
        <f t="shared" si="0"/>
        <v>7.966772838850135</v>
      </c>
      <c r="F27" s="26">
        <v>536.1</v>
      </c>
      <c r="G27" s="36">
        <v>1398.65</v>
      </c>
      <c r="H27" s="26">
        <v>103.20835664987875</v>
      </c>
      <c r="I27" s="35">
        <f>D27-Февраль!D27</f>
        <v>610.5466499999998</v>
      </c>
    </row>
    <row r="28" spans="1:9" ht="12.75">
      <c r="A28" s="56" t="s">
        <v>107</v>
      </c>
      <c r="B28" s="28">
        <f>17332100/1000</f>
        <v>17332.1</v>
      </c>
      <c r="C28" s="28">
        <f>2919246.29/1000</f>
        <v>2919.24629</v>
      </c>
      <c r="D28" s="28">
        <f>2862625.61/1000</f>
        <v>2862.62561</v>
      </c>
      <c r="E28" s="26">
        <f t="shared" si="0"/>
        <v>16.516322949902207</v>
      </c>
      <c r="F28" s="26">
        <v>1929.72</v>
      </c>
      <c r="G28" s="28">
        <v>2852.38</v>
      </c>
      <c r="H28" s="26">
        <v>38.22989863814439</v>
      </c>
      <c r="I28" s="35">
        <f>D28-Февраль!D28</f>
        <v>1379.64689</v>
      </c>
    </row>
    <row r="29" spans="1:9" ht="12.75">
      <c r="A29" s="52" t="s">
        <v>9</v>
      </c>
      <c r="B29" s="28">
        <f>SUM(B30:B32)</f>
        <v>16105.5</v>
      </c>
      <c r="C29" s="28">
        <f>SUM(C30:C32)</f>
        <v>3621</v>
      </c>
      <c r="D29" s="28">
        <f>SUM(D30:D32)</f>
        <v>3688.88297</v>
      </c>
      <c r="E29" s="26">
        <f t="shared" si="0"/>
        <v>22.90449206792711</v>
      </c>
      <c r="F29" s="26">
        <v>793.07</v>
      </c>
      <c r="G29" s="35">
        <f>G30+G31+G32</f>
        <v>3442.57</v>
      </c>
      <c r="H29" s="26">
        <v>87.45129685904145</v>
      </c>
      <c r="I29" s="35">
        <f>D29-Февраль!D29</f>
        <v>1559.2206500000002</v>
      </c>
    </row>
    <row r="30" spans="1:9" ht="25.5">
      <c r="A30" s="56" t="s">
        <v>10</v>
      </c>
      <c r="B30" s="28">
        <f>15988300/1000</f>
        <v>15988.3</v>
      </c>
      <c r="C30" s="28">
        <f>3600000/1000</f>
        <v>3600</v>
      </c>
      <c r="D30" s="28">
        <f>3647682.97/1000</f>
        <v>3647.6829700000003</v>
      </c>
      <c r="E30" s="26">
        <f t="shared" si="0"/>
        <v>22.814701813200905</v>
      </c>
      <c r="F30" s="26">
        <v>793.07</v>
      </c>
      <c r="G30" s="28">
        <v>3417.77</v>
      </c>
      <c r="H30" s="26">
        <v>87.24954922011928</v>
      </c>
      <c r="I30" s="35">
        <f>D30-Февраль!D30</f>
        <v>1539.4206500000005</v>
      </c>
    </row>
    <row r="31" spans="1:9" ht="25.5">
      <c r="A31" s="56" t="s">
        <v>91</v>
      </c>
      <c r="B31" s="80">
        <f>67200/1000</f>
        <v>67.2</v>
      </c>
      <c r="C31" s="80">
        <f>5000/1000</f>
        <v>5</v>
      </c>
      <c r="D31" s="80">
        <f>30000/1000</f>
        <v>30</v>
      </c>
      <c r="E31" s="26">
        <f t="shared" si="0"/>
        <v>44.64285714285714</v>
      </c>
      <c r="F31" s="26">
        <v>0</v>
      </c>
      <c r="G31" s="28">
        <v>4.8</v>
      </c>
      <c r="H31" s="26" t="s">
        <v>111</v>
      </c>
      <c r="I31" s="35">
        <f>D31-Февраль!D31</f>
        <v>23.6</v>
      </c>
    </row>
    <row r="32" spans="1:9" ht="25.5">
      <c r="A32" s="56" t="s">
        <v>90</v>
      </c>
      <c r="B32" s="80">
        <f>50000/1000</f>
        <v>50</v>
      </c>
      <c r="C32" s="80">
        <f>16000/1000</f>
        <v>16</v>
      </c>
      <c r="D32" s="80">
        <f>11200/1000</f>
        <v>11.2</v>
      </c>
      <c r="E32" s="26">
        <f t="shared" si="0"/>
        <v>22.4</v>
      </c>
      <c r="F32" s="26">
        <v>0</v>
      </c>
      <c r="G32" s="28">
        <v>20</v>
      </c>
      <c r="H32" s="26" t="s">
        <v>111</v>
      </c>
      <c r="I32" s="35">
        <f>D32-Февраль!D32</f>
        <v>-3.8000000000000007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 t="shared" si="0"/>
        <v>#DIV/0!</v>
      </c>
      <c r="F33" s="26">
        <v>0</v>
      </c>
      <c r="G33" s="28">
        <v>0.02</v>
      </c>
      <c r="H33" s="26" t="s">
        <v>111</v>
      </c>
      <c r="I33" s="35">
        <f>D33-Февраль!D33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 t="shared" si="0"/>
        <v>#DIV/0!</v>
      </c>
      <c r="F34" s="26">
        <v>0</v>
      </c>
      <c r="G34" s="35">
        <v>0</v>
      </c>
      <c r="H34" s="26" t="s">
        <v>111</v>
      </c>
      <c r="I34" s="35">
        <f>D34-Февраль!D34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 t="shared" si="0"/>
        <v>#DIV/0!</v>
      </c>
      <c r="F35" s="26">
        <v>0</v>
      </c>
      <c r="G35" s="28">
        <v>0.02</v>
      </c>
      <c r="H35" s="26" t="s">
        <v>111</v>
      </c>
      <c r="I35" s="35">
        <f>D35-Февраль!D35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13631.51608</v>
      </c>
      <c r="D36" s="28">
        <f>SUM(D38:D44)</f>
        <v>10853.76394</v>
      </c>
      <c r="E36" s="26">
        <f t="shared" si="0"/>
        <v>14.756890696022648</v>
      </c>
      <c r="F36" s="26">
        <v>3247.05</v>
      </c>
      <c r="G36" s="35">
        <f>SUM(G37:G44)</f>
        <v>10024.289999999999</v>
      </c>
      <c r="H36" s="26">
        <v>91.78269506167136</v>
      </c>
      <c r="I36" s="35">
        <f>D36-Февраль!D36</f>
        <v>4522.77956</v>
      </c>
    </row>
    <row r="37" spans="1:9" ht="81.75" customHeight="1" hidden="1">
      <c r="A37" s="56" t="s">
        <v>114</v>
      </c>
      <c r="B37" s="28"/>
      <c r="C37" s="28"/>
      <c r="D37" s="28"/>
      <c r="E37" s="26" t="e">
        <f t="shared" si="0"/>
        <v>#DIV/0!</v>
      </c>
      <c r="F37" s="26"/>
      <c r="G37" s="28"/>
      <c r="H37" s="26" t="e">
        <v>#DIV/0!</v>
      </c>
      <c r="I37" s="35">
        <f>D37-Февраль!D37</f>
        <v>0</v>
      </c>
    </row>
    <row r="38" spans="1:9" ht="76.5">
      <c r="A38" s="56" t="s">
        <v>117</v>
      </c>
      <c r="B38" s="28">
        <f>37670900/1000</f>
        <v>37670.9</v>
      </c>
      <c r="C38" s="28">
        <f>6500000/1000</f>
        <v>6500</v>
      </c>
      <c r="D38" s="28">
        <f>6241904.19/1000</f>
        <v>6241.90419</v>
      </c>
      <c r="E38" s="26">
        <f t="shared" si="0"/>
        <v>16.569564809972682</v>
      </c>
      <c r="F38" s="26">
        <v>2393.3</v>
      </c>
      <c r="G38" s="28">
        <v>5376.7</v>
      </c>
      <c r="H38" s="26">
        <v>97.4570676471817</v>
      </c>
      <c r="I38" s="35">
        <f>D38-Февраль!D38</f>
        <v>2523.36424</v>
      </c>
    </row>
    <row r="39" spans="1:9" ht="76.5">
      <c r="A39" s="56" t="s">
        <v>125</v>
      </c>
      <c r="B39" s="83">
        <f>7265030/1000</f>
        <v>7265.03</v>
      </c>
      <c r="C39" s="83">
        <f>777344.6/1000</f>
        <v>777.3446</v>
      </c>
      <c r="D39" s="84">
        <f>683058.55/1000</f>
        <v>683.0585500000001</v>
      </c>
      <c r="E39" s="26">
        <f aca="true" t="shared" si="1" ref="E39:E72">$D:$D/$B:$B*100</f>
        <v>9.402005910505533</v>
      </c>
      <c r="F39" s="26">
        <v>75.44</v>
      </c>
      <c r="G39" s="28">
        <v>225.44</v>
      </c>
      <c r="H39" s="26" t="s">
        <v>111</v>
      </c>
      <c r="I39" s="35">
        <f>D39-Февраль!D39</f>
        <v>522.1457</v>
      </c>
    </row>
    <row r="40" spans="1:9" ht="76.5">
      <c r="A40" s="56" t="s">
        <v>118</v>
      </c>
      <c r="B40" s="83">
        <f>427990/1000</f>
        <v>427.99</v>
      </c>
      <c r="C40" s="83">
        <f>103521/1000</f>
        <v>103.521</v>
      </c>
      <c r="D40" s="84">
        <f>40939.04/1000</f>
        <v>40.93904</v>
      </c>
      <c r="E40" s="26">
        <f t="shared" si="1"/>
        <v>9.565419752797961</v>
      </c>
      <c r="F40" s="26">
        <v>3.43</v>
      </c>
      <c r="G40" s="28">
        <v>64.63</v>
      </c>
      <c r="H40" s="26">
        <v>528.2798833819242</v>
      </c>
      <c r="I40" s="35">
        <f>D40-Февраль!D40</f>
        <v>19.50401</v>
      </c>
    </row>
    <row r="41" spans="1:9" ht="38.25">
      <c r="A41" s="56" t="s">
        <v>119</v>
      </c>
      <c r="B41" s="83">
        <f>21306530/1000</f>
        <v>21306.53</v>
      </c>
      <c r="C41" s="83">
        <f>3212844.48/1000</f>
        <v>3212.84448</v>
      </c>
      <c r="D41" s="84">
        <f>3256020/1000</f>
        <v>3256.02</v>
      </c>
      <c r="E41" s="26">
        <f t="shared" si="1"/>
        <v>15.281793891356314</v>
      </c>
      <c r="F41" s="26">
        <v>538.73</v>
      </c>
      <c r="G41" s="28">
        <v>3165.87</v>
      </c>
      <c r="H41" s="26">
        <v>72.6653425649212</v>
      </c>
      <c r="I41" s="35">
        <f>D41-Февраль!D41</f>
        <v>1011.8005800000001</v>
      </c>
    </row>
    <row r="42" spans="1:9" ht="51">
      <c r="A42" s="56" t="s">
        <v>147</v>
      </c>
      <c r="B42" s="83">
        <f>64240/1000</f>
        <v>64.24</v>
      </c>
      <c r="C42" s="83">
        <f>16059/1000</f>
        <v>16.059</v>
      </c>
      <c r="D42" s="83">
        <v>0</v>
      </c>
      <c r="E42" s="26">
        <f t="shared" si="1"/>
        <v>0</v>
      </c>
      <c r="F42" s="26"/>
      <c r="G42" s="28">
        <v>7.01</v>
      </c>
      <c r="H42" s="26"/>
      <c r="I42" s="35">
        <f>D42-Февраль!D42</f>
        <v>0</v>
      </c>
    </row>
    <row r="43" spans="1:9" ht="51">
      <c r="A43" s="56" t="s">
        <v>120</v>
      </c>
      <c r="B43" s="83">
        <f>2735600/1000</f>
        <v>2735.6</v>
      </c>
      <c r="C43" s="83">
        <f>2051700/1000</f>
        <v>2051.7</v>
      </c>
      <c r="D43" s="83">
        <f>105492/1000</f>
        <v>105.492</v>
      </c>
      <c r="E43" s="26">
        <f t="shared" si="1"/>
        <v>3.856265535897061</v>
      </c>
      <c r="F43" s="26">
        <v>0</v>
      </c>
      <c r="G43" s="28">
        <v>103.65</v>
      </c>
      <c r="H43" s="26" t="s">
        <v>111</v>
      </c>
      <c r="I43" s="35">
        <f>D43-Февраль!D43</f>
        <v>105.492</v>
      </c>
    </row>
    <row r="44" spans="1:9" ht="76.5">
      <c r="A44" s="60" t="s">
        <v>121</v>
      </c>
      <c r="B44" s="82">
        <f>4080190/1000</f>
        <v>4080.19</v>
      </c>
      <c r="C44" s="82">
        <f>970047/1000</f>
        <v>970.047</v>
      </c>
      <c r="D44" s="82">
        <f>526350.16/1000</f>
        <v>526.3501600000001</v>
      </c>
      <c r="E44" s="26">
        <f t="shared" si="1"/>
        <v>12.900138473943617</v>
      </c>
      <c r="F44" s="26">
        <v>236.15</v>
      </c>
      <c r="G44" s="28">
        <v>1080.99</v>
      </c>
      <c r="H44" s="26">
        <v>100.86809231420706</v>
      </c>
      <c r="I44" s="35">
        <f>D44-Февраль!D44</f>
        <v>340.4730300000001</v>
      </c>
    </row>
    <row r="45" spans="1:9" ht="27" customHeight="1">
      <c r="A45" s="53" t="s">
        <v>13</v>
      </c>
      <c r="B45" s="28">
        <f>766900/1000</f>
        <v>766.9</v>
      </c>
      <c r="C45" s="28">
        <f>375100/1000</f>
        <v>375.1</v>
      </c>
      <c r="D45" s="28">
        <f>292037.99/1000</f>
        <v>292.03799</v>
      </c>
      <c r="E45" s="26">
        <f t="shared" si="1"/>
        <v>38.080322075889946</v>
      </c>
      <c r="F45" s="26">
        <v>43.6</v>
      </c>
      <c r="G45" s="27">
        <v>160.92</v>
      </c>
      <c r="H45" s="26">
        <v>29.495412844036693</v>
      </c>
      <c r="I45" s="35">
        <f>D45-Февраль!D45</f>
        <v>134.84803</v>
      </c>
    </row>
    <row r="46" spans="1:9" ht="25.5">
      <c r="A46" s="53" t="s">
        <v>96</v>
      </c>
      <c r="B46" s="28">
        <f>1277590/1000</f>
        <v>1277.59</v>
      </c>
      <c r="C46" s="28">
        <f>22000/1000</f>
        <v>22</v>
      </c>
      <c r="D46" s="28">
        <f>188742.64/1000</f>
        <v>188.74264000000002</v>
      </c>
      <c r="E46" s="26">
        <f t="shared" si="1"/>
        <v>14.77333416823864</v>
      </c>
      <c r="F46" s="26">
        <v>561.58</v>
      </c>
      <c r="G46" s="27">
        <v>1211.29</v>
      </c>
      <c r="H46" s="26">
        <v>83.484098436554</v>
      </c>
      <c r="I46" s="35">
        <f>D46-Февраль!D46</f>
        <v>99.52539000000002</v>
      </c>
    </row>
    <row r="47" spans="1:9" ht="25.5">
      <c r="A47" s="59" t="s">
        <v>14</v>
      </c>
      <c r="B47" s="28">
        <f>SUM(B48:B50)</f>
        <v>3900</v>
      </c>
      <c r="C47" s="28">
        <f>SUM(C48:C50)</f>
        <v>709.09</v>
      </c>
      <c r="D47" s="28">
        <f>SUM(D48:D50)</f>
        <v>634.09024</v>
      </c>
      <c r="E47" s="26">
        <f t="shared" si="1"/>
        <v>16.258724102564102</v>
      </c>
      <c r="F47" s="26">
        <v>585.5</v>
      </c>
      <c r="G47" s="35">
        <f>G48+G49+G50</f>
        <v>737.8299999999999</v>
      </c>
      <c r="H47" s="26">
        <v>7.185311699402221</v>
      </c>
      <c r="I47" s="35">
        <f>D47-Февраль!D47</f>
        <v>35.52909999999997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 t="shared" si="1"/>
        <v>#DIV/0!</v>
      </c>
      <c r="F48" s="26">
        <v>0</v>
      </c>
      <c r="G48" s="28">
        <v>0</v>
      </c>
      <c r="H48" s="26" t="s">
        <v>111</v>
      </c>
      <c r="I48" s="35">
        <f>D48-Февраль!D48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 t="shared" si="1"/>
        <v>#DIV/0!</v>
      </c>
      <c r="F49" s="26">
        <v>37.14</v>
      </c>
      <c r="G49" s="28">
        <v>61.69</v>
      </c>
      <c r="H49" s="26">
        <v>0</v>
      </c>
      <c r="I49" s="35">
        <f>D49-Февраль!D49</f>
        <v>0</v>
      </c>
    </row>
    <row r="50" spans="1:9" ht="16.5" customHeight="1">
      <c r="A50" s="60" t="s">
        <v>93</v>
      </c>
      <c r="B50" s="83">
        <f>3900000/1000</f>
        <v>3900</v>
      </c>
      <c r="C50" s="84">
        <f>709090/1000</f>
        <v>709.09</v>
      </c>
      <c r="D50" s="84">
        <f>634090.24/1000</f>
        <v>634.09024</v>
      </c>
      <c r="E50" s="26">
        <f t="shared" si="1"/>
        <v>16.258724102564102</v>
      </c>
      <c r="F50" s="26">
        <v>548.36</v>
      </c>
      <c r="G50" s="28">
        <v>676.14</v>
      </c>
      <c r="H50" s="26">
        <v>7.671967320738202</v>
      </c>
      <c r="I50" s="35">
        <f>D50-Февраль!D50</f>
        <v>35.52909999999997</v>
      </c>
    </row>
    <row r="51" spans="1:9" ht="12.75">
      <c r="A51" s="53" t="s">
        <v>15</v>
      </c>
      <c r="B51" s="28">
        <f>5212700/1000</f>
        <v>5212.7</v>
      </c>
      <c r="C51" s="28">
        <f>354756/1000</f>
        <v>354.756</v>
      </c>
      <c r="D51" s="28">
        <f>626993.54/1000</f>
        <v>626.99354</v>
      </c>
      <c r="E51" s="26">
        <f t="shared" si="1"/>
        <v>12.028191532219388</v>
      </c>
      <c r="F51" s="26">
        <v>179.73</v>
      </c>
      <c r="G51" s="35">
        <v>1039.92</v>
      </c>
      <c r="H51" s="26">
        <v>44.182941078284095</v>
      </c>
      <c r="I51" s="35">
        <f>D51-Февраль!D51</f>
        <v>309.95897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 t="shared" si="1"/>
        <v>0</v>
      </c>
      <c r="F52" s="26"/>
      <c r="G52" s="28"/>
      <c r="H52" s="26" t="e">
        <v>#DIV/0!</v>
      </c>
      <c r="I52" s="35">
        <f>D52-Февраль!D52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 t="shared" si="1"/>
        <v>0</v>
      </c>
      <c r="F53" s="26"/>
      <c r="G53" s="28"/>
      <c r="H53" s="26" t="e">
        <v>#DIV/0!</v>
      </c>
      <c r="I53" s="35">
        <f>D53-Февраль!D53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 t="shared" si="1"/>
        <v>0</v>
      </c>
      <c r="F54" s="26"/>
      <c r="G54" s="28"/>
      <c r="H54" s="26" t="e">
        <v>#DIV/0!</v>
      </c>
      <c r="I54" s="35">
        <f>D54-Февраль!D54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 t="shared" si="1"/>
        <v>0</v>
      </c>
      <c r="F55" s="26"/>
      <c r="G55" s="28"/>
      <c r="H55" s="26" t="s">
        <v>112</v>
      </c>
      <c r="I55" s="35">
        <f>D55-Февраль!D55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 t="shared" si="1"/>
        <v>0</v>
      </c>
      <c r="F56" s="26"/>
      <c r="G56" s="28"/>
      <c r="H56" s="26" t="e">
        <v>#DIV/0!</v>
      </c>
      <c r="I56" s="35">
        <f>D56-Февраль!D56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 t="shared" si="1"/>
        <v>0</v>
      </c>
      <c r="F57" s="26"/>
      <c r="G57" s="28"/>
      <c r="H57" s="26" t="e">
        <v>#DIV/0!</v>
      </c>
      <c r="I57" s="35">
        <f>D57-Февраль!D57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 t="shared" si="1"/>
        <v>0</v>
      </c>
      <c r="F58" s="26"/>
      <c r="G58" s="28"/>
      <c r="H58" s="26" t="e">
        <v>#DIV/0!</v>
      </c>
      <c r="I58" s="35">
        <f>D58-Февраль!D58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 t="shared" si="1"/>
        <v>0</v>
      </c>
      <c r="F59" s="26"/>
      <c r="G59" s="28"/>
      <c r="H59" s="26" t="e">
        <v>#DIV/0!</v>
      </c>
      <c r="I59" s="35">
        <f>D59-Февраль!D59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 t="shared" si="1"/>
        <v>0</v>
      </c>
      <c r="F60" s="26"/>
      <c r="G60" s="28"/>
      <c r="H60" s="26" t="s">
        <v>111</v>
      </c>
      <c r="I60" s="35">
        <f>D60-Февраль!D60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 t="shared" si="1"/>
        <v>0</v>
      </c>
      <c r="F61" s="26"/>
      <c r="G61" s="28"/>
      <c r="H61" s="26" t="s">
        <v>112</v>
      </c>
      <c r="I61" s="35">
        <f>D61-Февраль!D61</f>
        <v>0</v>
      </c>
    </row>
    <row r="62" spans="1:9" ht="12.75">
      <c r="A62" s="52" t="s">
        <v>16</v>
      </c>
      <c r="B62" s="81">
        <f>50000/1000</f>
        <v>50</v>
      </c>
      <c r="C62" s="81">
        <f>12498/1000</f>
        <v>12.498</v>
      </c>
      <c r="D62" s="81">
        <v>0.2</v>
      </c>
      <c r="E62" s="26">
        <f t="shared" si="1"/>
        <v>0.4</v>
      </c>
      <c r="F62" s="26">
        <v>-38.79</v>
      </c>
      <c r="G62" s="27">
        <v>-74.39</v>
      </c>
      <c r="H62" s="26">
        <v>-18.45836555813354</v>
      </c>
      <c r="I62" s="35">
        <f>D62-Февраль!D62</f>
        <v>-34.29582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177015.27240000002</v>
      </c>
      <c r="D63" s="28">
        <f>D62+D51+D47+D46+D45+D36+D29+D26+D21+D16+D8</f>
        <v>170232.49980000002</v>
      </c>
      <c r="E63" s="26">
        <f t="shared" si="1"/>
        <v>25.277577041056787</v>
      </c>
      <c r="F63" s="26">
        <v>27699.089999999997</v>
      </c>
      <c r="G63" s="35">
        <f>G10+G17+G22+G26+G29+G33+G36+G45+G46+G47+G62+G51</f>
        <v>82138.52999999998</v>
      </c>
      <c r="H63" s="26">
        <v>96.62342697900908</v>
      </c>
      <c r="I63" s="35">
        <f>D63-Февраль!D63</f>
        <v>56759.823320000025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323176.78827</v>
      </c>
      <c r="D64" s="28">
        <f>D65+D70+D71</f>
        <v>300176.78826999996</v>
      </c>
      <c r="E64" s="26">
        <f t="shared" si="1"/>
        <v>12.319242936703509</v>
      </c>
      <c r="F64" s="26">
        <v>43822.57000000001</v>
      </c>
      <c r="G64" s="35">
        <f>G65+G71+G70</f>
        <v>292350.15</v>
      </c>
      <c r="H64" s="26">
        <v>103.7277138241778</v>
      </c>
      <c r="I64" s="35">
        <f>D64-Февраль!D64</f>
        <v>118186.86826999998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341549.72033000004</v>
      </c>
      <c r="D65" s="28">
        <f>SUM(D66:D69)</f>
        <v>318549.72033</v>
      </c>
      <c r="E65" s="26">
        <f t="shared" si="1"/>
        <v>13.099191683685133</v>
      </c>
      <c r="F65" s="26">
        <v>46091.770000000004</v>
      </c>
      <c r="G65" s="35">
        <f>G66+G67+G69+G68</f>
        <v>295022.34</v>
      </c>
      <c r="H65" s="26">
        <v>114.15588943535906</v>
      </c>
      <c r="I65" s="35">
        <f>D65-Февраль!D65</f>
        <v>111647.50033000001</v>
      </c>
    </row>
    <row r="66" spans="1:9" ht="12.75">
      <c r="A66" s="56" t="s">
        <v>108</v>
      </c>
      <c r="B66" s="28">
        <f>460860200/1000</f>
        <v>460860.2</v>
      </c>
      <c r="C66" s="28">
        <f>129361300/1000</f>
        <v>129361.3</v>
      </c>
      <c r="D66" s="28">
        <f>106361300/1000</f>
        <v>106361.3</v>
      </c>
      <c r="E66" s="26">
        <f t="shared" si="1"/>
        <v>23.0788642629587</v>
      </c>
      <c r="F66" s="26">
        <v>15902.8</v>
      </c>
      <c r="G66" s="28">
        <v>110895</v>
      </c>
      <c r="H66" s="26">
        <v>109.8963704504867</v>
      </c>
      <c r="I66" s="35">
        <f>D66-Февраль!D66</f>
        <v>23015.800000000003</v>
      </c>
    </row>
    <row r="67" spans="1:9" ht="12.75" customHeight="1">
      <c r="A67" s="56" t="s">
        <v>109</v>
      </c>
      <c r="B67" s="28">
        <f>842782506.77/1000</f>
        <v>842782.50677</v>
      </c>
      <c r="C67" s="28">
        <f>16207497.97/1000</f>
        <v>16207.49797</v>
      </c>
      <c r="D67" s="28">
        <f>16207497.97/1000</f>
        <v>16207.49797</v>
      </c>
      <c r="E67" s="26">
        <f t="shared" si="1"/>
        <v>1.9230937804008215</v>
      </c>
      <c r="F67" s="26">
        <v>0</v>
      </c>
      <c r="G67" s="28">
        <v>7953.67</v>
      </c>
      <c r="H67" s="26">
        <v>0</v>
      </c>
      <c r="I67" s="35">
        <f>D67-Февраль!D67</f>
        <v>9569.29797</v>
      </c>
    </row>
    <row r="68" spans="1:9" ht="18.75" customHeight="1">
      <c r="A68" s="56" t="s">
        <v>110</v>
      </c>
      <c r="B68" s="28">
        <f>1081078200/1000</f>
        <v>1081078.2</v>
      </c>
      <c r="C68" s="28">
        <f>187890322.36/1000</f>
        <v>187890.32236000002</v>
      </c>
      <c r="D68" s="28">
        <f>187890322.36/1000</f>
        <v>187890.32236000002</v>
      </c>
      <c r="E68" s="26">
        <f t="shared" si="1"/>
        <v>17.37990113573653</v>
      </c>
      <c r="F68" s="26">
        <v>30188.97</v>
      </c>
      <c r="G68" s="28">
        <v>175985.1</v>
      </c>
      <c r="H68" s="26">
        <v>116.39969830040575</v>
      </c>
      <c r="I68" s="35">
        <f>D68-Февраль!D68</f>
        <v>74904.16236000002</v>
      </c>
    </row>
    <row r="69" spans="1:9" ht="12.75" customHeight="1">
      <c r="A69" s="2" t="s">
        <v>122</v>
      </c>
      <c r="B69" s="36">
        <v>47106.4</v>
      </c>
      <c r="C69" s="36">
        <f>8090600/1000</f>
        <v>8090.6</v>
      </c>
      <c r="D69" s="36">
        <f>8090600/1000</f>
        <v>8090.6</v>
      </c>
      <c r="E69" s="26">
        <f t="shared" si="1"/>
        <v>17.175160912317647</v>
      </c>
      <c r="F69" s="26">
        <v>0</v>
      </c>
      <c r="G69" s="28">
        <v>188.57</v>
      </c>
      <c r="H69" s="26" t="s">
        <v>111</v>
      </c>
      <c r="I69" s="35">
        <f>D69-Февраль!D69</f>
        <v>4158.24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 t="shared" si="1"/>
        <v>0</v>
      </c>
      <c r="F70" s="26">
        <v>0</v>
      </c>
      <c r="G70" s="28"/>
      <c r="H70" s="26" t="s">
        <v>112</v>
      </c>
      <c r="I70" s="35">
        <f>D70-Февраль!D70</f>
        <v>0</v>
      </c>
    </row>
    <row r="71" spans="1:9" ht="25.5">
      <c r="A71" s="59" t="s">
        <v>21</v>
      </c>
      <c r="B71" s="83">
        <v>0</v>
      </c>
      <c r="C71" s="83">
        <f>-18372932.06/1000</f>
        <v>-18372.93206</v>
      </c>
      <c r="D71" s="83">
        <f>-18372932.06/1000</f>
        <v>-18372.93206</v>
      </c>
      <c r="E71" s="26" t="e">
        <f t="shared" si="1"/>
        <v>#DIV/0!</v>
      </c>
      <c r="F71" s="26">
        <v>-2269.2</v>
      </c>
      <c r="G71" s="27">
        <v>-2672.19</v>
      </c>
      <c r="H71" s="26">
        <v>315.5438039837828</v>
      </c>
      <c r="I71" s="35">
        <f>D71-Февраль!D71</f>
        <v>6539.36794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500192.06067000004</v>
      </c>
      <c r="D72" s="27">
        <f>D9+D11+D12+D13+D14+D15+D17+D18+D19+D20+D22+D23+D24+D25+D27+D28+D30+D31+D32+D38+D39+D40+D41+D42+D43+D44+D45+D46+D48+D49+D50+D51+D62+D66+D67+D68+D69+D70+D71</f>
        <v>470409.28807</v>
      </c>
      <c r="E72" s="26">
        <f t="shared" si="1"/>
        <v>15.125203361756496</v>
      </c>
      <c r="F72" s="26">
        <v>71521.66</v>
      </c>
      <c r="G72" s="35">
        <v>423162</v>
      </c>
      <c r="H72" s="26">
        <v>100.97634758477363</v>
      </c>
      <c r="I72" s="35">
        <f>D72-Февраль!D72</f>
        <v>174946.69159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29610.49078</v>
      </c>
      <c r="D78" s="35">
        <f>D79+D80+D81+D82+D83+D84+D85+D86</f>
        <v>27636.5836</v>
      </c>
      <c r="E78" s="26">
        <f>$D:$D/$B:$B*100</f>
        <v>8.85190310440506</v>
      </c>
      <c r="F78" s="26">
        <f>$D:$D/$C:$C*100</f>
        <v>93.33375730018886</v>
      </c>
      <c r="G78" s="35">
        <f>G79+G80+G81+G82+G83+G84+G85+G86</f>
        <v>27185.4</v>
      </c>
      <c r="H78" s="26">
        <f>$D:$D/$G:$G*100</f>
        <v>101.6596540790277</v>
      </c>
      <c r="I78" s="35">
        <f>I79+I80+I81+I82+I83+I84+I85+I86</f>
        <v>27539.78195</v>
      </c>
    </row>
    <row r="79" spans="1:9" ht="14.25" customHeight="1">
      <c r="A79" s="8" t="s">
        <v>24</v>
      </c>
      <c r="B79" s="36">
        <f>2878440/1000</f>
        <v>2878.44</v>
      </c>
      <c r="C79" s="71">
        <v>317.63378</v>
      </c>
      <c r="D79" s="71">
        <v>316.63378</v>
      </c>
      <c r="E79" s="29">
        <f>$D:$D/$B:$B*100</f>
        <v>11.000186906796737</v>
      </c>
      <c r="F79" s="29">
        <v>0</v>
      </c>
      <c r="G79" s="36">
        <v>607.1</v>
      </c>
      <c r="H79" s="29">
        <v>0</v>
      </c>
      <c r="I79" s="36">
        <f>D79</f>
        <v>316.63378</v>
      </c>
    </row>
    <row r="80" spans="1:9" ht="12.75">
      <c r="A80" s="8" t="s">
        <v>25</v>
      </c>
      <c r="B80" s="36">
        <f>6543130/1000</f>
        <v>6543.13</v>
      </c>
      <c r="C80" s="71">
        <v>1571.64017</v>
      </c>
      <c r="D80" s="71">
        <v>1241.25197</v>
      </c>
      <c r="E80" s="29">
        <f>$D:$D/$B:$B*100</f>
        <v>18.970308858298704</v>
      </c>
      <c r="F80" s="29">
        <f>$D:$D/$C:$C*100</f>
        <v>78.97812703527424</v>
      </c>
      <c r="G80" s="36">
        <v>1524.4</v>
      </c>
      <c r="H80" s="29">
        <f>$D:$D/$G:$G*100</f>
        <v>81.42560810810811</v>
      </c>
      <c r="I80" s="36">
        <f>D80</f>
        <v>1241.25197</v>
      </c>
    </row>
    <row r="81" spans="1:9" ht="25.5">
      <c r="A81" s="8" t="s">
        <v>26</v>
      </c>
      <c r="B81" s="36">
        <f>63980770/1000</f>
        <v>63980.77</v>
      </c>
      <c r="C81" s="71">
        <v>14770.538400000001</v>
      </c>
      <c r="D81" s="71">
        <v>14036.444660000001</v>
      </c>
      <c r="E81" s="29">
        <f>$D:$D/$B:$B*100</f>
        <v>21.938536625926826</v>
      </c>
      <c r="F81" s="29">
        <f>$D:$D/$C:$C*100</f>
        <v>95.03001366558175</v>
      </c>
      <c r="G81" s="36">
        <v>12947.8</v>
      </c>
      <c r="H81" s="29">
        <f>$D:$D/$G:$G*100</f>
        <v>108.40795084879286</v>
      </c>
      <c r="I81" s="36">
        <f aca="true" t="shared" si="2" ref="I81:I124">D81</f>
        <v>14036.444660000001</v>
      </c>
    </row>
    <row r="82" spans="1:9" ht="12.75">
      <c r="A82" s="8" t="s">
        <v>72</v>
      </c>
      <c r="B82" s="45">
        <f>327700/1000</f>
        <v>327.7</v>
      </c>
      <c r="C82" s="71">
        <v>170</v>
      </c>
      <c r="D82" s="71">
        <v>170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2835.64259</v>
      </c>
    </row>
    <row r="83" spans="1:9" ht="25.5">
      <c r="A83" s="1" t="s">
        <v>27</v>
      </c>
      <c r="B83" s="28">
        <f>15705720/1000</f>
        <v>15705.72</v>
      </c>
      <c r="C83" s="71">
        <v>3533.47571</v>
      </c>
      <c r="D83" s="71">
        <v>2835.64259</v>
      </c>
      <c r="E83" s="29">
        <f>$D:$D/$B:$B*100</f>
        <v>18.05483982905591</v>
      </c>
      <c r="F83" s="29">
        <v>0</v>
      </c>
      <c r="G83" s="28">
        <v>3387</v>
      </c>
      <c r="H83" s="29">
        <f>$D:$D/$G:$G*100</f>
        <v>83.721363743726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71">
        <v>0</v>
      </c>
      <c r="D84" s="71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71">
        <v>0</v>
      </c>
      <c r="D85" s="71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9036.6106</v>
      </c>
    </row>
    <row r="86" spans="1:9" ht="12.75">
      <c r="A86" s="1" t="s">
        <v>30</v>
      </c>
      <c r="B86" s="36">
        <f>221774883/1000</f>
        <v>221774.883</v>
      </c>
      <c r="C86" s="71">
        <v>9247.202720000001</v>
      </c>
      <c r="D86" s="71">
        <v>9036.6106</v>
      </c>
      <c r="E86" s="29">
        <f>$D:$D/$B:$B*100</f>
        <v>4.0746772031889655</v>
      </c>
      <c r="F86" s="29">
        <f>$D:$D/$C:$C*100</f>
        <v>97.7226397389934</v>
      </c>
      <c r="G86" s="36">
        <v>8719.1</v>
      </c>
      <c r="H86" s="29">
        <f>$D:$D/$G:$G*100</f>
        <v>103.6415524538083</v>
      </c>
      <c r="I86" s="36">
        <f>D87</f>
        <v>73.19835</v>
      </c>
    </row>
    <row r="87" spans="1:9" ht="12.75">
      <c r="A87" s="7" t="s">
        <v>31</v>
      </c>
      <c r="B87" s="27">
        <f>428600/1000</f>
        <v>428.6</v>
      </c>
      <c r="C87" s="71">
        <v>73.19835</v>
      </c>
      <c r="D87" s="71">
        <v>73.19835</v>
      </c>
      <c r="E87" s="26">
        <f>$D:$D/$B:$B*100</f>
        <v>17.078476434904342</v>
      </c>
      <c r="F87" s="26">
        <f>$D:$D/$C:$C*100</f>
        <v>100</v>
      </c>
      <c r="G87" s="35">
        <v>75.3</v>
      </c>
      <c r="H87" s="26">
        <v>0</v>
      </c>
      <c r="I87" s="35">
        <f>D87</f>
        <v>73.19835</v>
      </c>
    </row>
    <row r="88" spans="1:9" ht="25.5">
      <c r="A88" s="9" t="s">
        <v>32</v>
      </c>
      <c r="B88" s="27">
        <f>4928424.15/1000</f>
        <v>4928.424150000001</v>
      </c>
      <c r="C88" s="71">
        <v>905.74337</v>
      </c>
      <c r="D88" s="71">
        <v>902.92782</v>
      </c>
      <c r="E88" s="26">
        <f>$D:$D/$B:$B*100</f>
        <v>18.320822082652928</v>
      </c>
      <c r="F88" s="26">
        <f>$D:$D/$C:$C*100</f>
        <v>99.68914484022113</v>
      </c>
      <c r="G88" s="27">
        <v>1099.6</v>
      </c>
      <c r="H88" s="26">
        <f>$D:$D/$G:$G*100</f>
        <v>82.11420698435795</v>
      </c>
      <c r="I88" s="35">
        <f t="shared" si="2"/>
        <v>902.92782</v>
      </c>
    </row>
    <row r="89" spans="1:9" ht="12.75">
      <c r="A89" s="7" t="s">
        <v>33</v>
      </c>
      <c r="B89" s="35">
        <f>B90+B91+B92+B93+B94</f>
        <v>112585.3138</v>
      </c>
      <c r="C89" s="30">
        <f>C90+C91+C92+C93+C94</f>
        <v>10663.52235</v>
      </c>
      <c r="D89" s="30">
        <f>D90+D91+D92+D93+D94</f>
        <v>10592.23345</v>
      </c>
      <c r="E89" s="26">
        <f>$D:$D/$B:$B*100</f>
        <v>9.408183973991818</v>
      </c>
      <c r="F89" s="26">
        <f>$D:$D/$C:$C*100</f>
        <v>99.33146949328615</v>
      </c>
      <c r="G89" s="35">
        <f>G90+G91+G92+G93+G94</f>
        <v>12996.2</v>
      </c>
      <c r="H89" s="26">
        <f>$D:$D/$G:$G*100</f>
        <v>81.50254266631785</v>
      </c>
      <c r="I89" s="35">
        <f t="shared" si="2"/>
        <v>10592.23345</v>
      </c>
    </row>
    <row r="90" spans="1:9" ht="12.75" customHeight="1" hidden="1">
      <c r="A90" s="10" t="s">
        <v>64</v>
      </c>
      <c r="B90" s="36"/>
      <c r="C90" s="82"/>
      <c r="D90" s="82"/>
      <c r="E90" s="29">
        <v>0</v>
      </c>
      <c r="F90" s="29">
        <v>0</v>
      </c>
      <c r="G90" s="36"/>
      <c r="H90" s="29">
        <v>0</v>
      </c>
      <c r="I90" s="36">
        <f t="shared" si="2"/>
        <v>0</v>
      </c>
    </row>
    <row r="91" spans="1:9" ht="12.75" customHeight="1">
      <c r="A91" s="10" t="s">
        <v>67</v>
      </c>
      <c r="B91" s="36">
        <f>550000/1000</f>
        <v>550</v>
      </c>
      <c r="C91" s="71">
        <v>0</v>
      </c>
      <c r="D91" s="71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2"/>
        <v>0</v>
      </c>
    </row>
    <row r="92" spans="1:9" ht="12.75">
      <c r="A92" s="8" t="s">
        <v>34</v>
      </c>
      <c r="B92" s="36">
        <f>27875603.8/1000</f>
        <v>27875.6038</v>
      </c>
      <c r="C92" s="71">
        <v>4448.69449</v>
      </c>
      <c r="D92" s="71">
        <v>4448.69449</v>
      </c>
      <c r="E92" s="29">
        <f>$D:$D/$B:$B*100</f>
        <v>15.959096426818922</v>
      </c>
      <c r="F92" s="29">
        <v>0</v>
      </c>
      <c r="G92" s="36">
        <v>4216.7</v>
      </c>
      <c r="H92" s="29">
        <v>0</v>
      </c>
      <c r="I92" s="36">
        <f t="shared" si="2"/>
        <v>4448.69449</v>
      </c>
    </row>
    <row r="93" spans="1:9" ht="12.75">
      <c r="A93" s="10" t="s">
        <v>77</v>
      </c>
      <c r="B93" s="28">
        <f>65418760/1000</f>
        <v>65418.76</v>
      </c>
      <c r="C93" s="71">
        <v>3338.40238</v>
      </c>
      <c r="D93" s="71">
        <v>3338.40238</v>
      </c>
      <c r="E93" s="29">
        <f>$D:$D/$B:$B*100</f>
        <v>5.103126962357587</v>
      </c>
      <c r="F93" s="29">
        <f>$D:$D/$C:$C*100</f>
        <v>100</v>
      </c>
      <c r="G93" s="28">
        <v>6410</v>
      </c>
      <c r="H93" s="29">
        <v>0</v>
      </c>
      <c r="I93" s="36">
        <f t="shared" si="2"/>
        <v>3338.40238</v>
      </c>
    </row>
    <row r="94" spans="1:9" ht="12.75">
      <c r="A94" s="8" t="s">
        <v>35</v>
      </c>
      <c r="B94" s="36">
        <f>18740950/1000</f>
        <v>18740.95</v>
      </c>
      <c r="C94" s="71">
        <v>2876.42548</v>
      </c>
      <c r="D94" s="71">
        <v>2805.13658</v>
      </c>
      <c r="E94" s="29">
        <f>$D:$D/$B:$B*100</f>
        <v>14.96795295862803</v>
      </c>
      <c r="F94" s="29">
        <f>$D:$D/$C:$C*100</f>
        <v>97.52161491769292</v>
      </c>
      <c r="G94" s="36">
        <v>2369.5</v>
      </c>
      <c r="H94" s="29">
        <f>$D:$D/$G:$G*100</f>
        <v>118.38516902300063</v>
      </c>
      <c r="I94" s="36">
        <f t="shared" si="2"/>
        <v>2805.13658</v>
      </c>
    </row>
    <row r="95" spans="1:9" ht="12.75">
      <c r="A95" s="7" t="s">
        <v>36</v>
      </c>
      <c r="B95" s="35">
        <f>B97+B98+B99+B96</f>
        <v>477755.80864</v>
      </c>
      <c r="C95" s="85">
        <f>C97+C98+C99+C96</f>
        <v>29984.513940000004</v>
      </c>
      <c r="D95" s="30">
        <f>D97+D98+D99+D96</f>
        <v>12428.22898</v>
      </c>
      <c r="E95" s="35">
        <f>E98+E99+E96</f>
        <v>6.680667988033177</v>
      </c>
      <c r="F95" s="26">
        <f>$D:$D/$C:$C*100</f>
        <v>41.44882590016064</v>
      </c>
      <c r="G95" s="35">
        <f>G97+G98+G99+G96</f>
        <v>15026.3</v>
      </c>
      <c r="H95" s="35">
        <f>H97+H98+H99</f>
        <v>171.46763998713718</v>
      </c>
      <c r="I95" s="35">
        <f t="shared" si="2"/>
        <v>12428.22898</v>
      </c>
    </row>
    <row r="96" spans="1:9" ht="12.75">
      <c r="A96" s="8" t="s">
        <v>37</v>
      </c>
      <c r="B96" s="71">
        <f>35000000/1000</f>
        <v>35000</v>
      </c>
      <c r="C96" s="71">
        <v>0</v>
      </c>
      <c r="D96" s="71">
        <v>0</v>
      </c>
      <c r="E96" s="48">
        <v>0</v>
      </c>
      <c r="F96" s="29">
        <v>0</v>
      </c>
      <c r="G96" s="49">
        <v>480</v>
      </c>
      <c r="H96" s="29">
        <v>0</v>
      </c>
      <c r="I96" s="36">
        <f t="shared" si="2"/>
        <v>0</v>
      </c>
    </row>
    <row r="97" spans="1:9" ht="12.75">
      <c r="A97" s="8" t="s">
        <v>38</v>
      </c>
      <c r="B97" s="36">
        <f>30675160/1000</f>
        <v>30675.16</v>
      </c>
      <c r="C97" s="71">
        <v>284.3</v>
      </c>
      <c r="D97" s="71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2"/>
        <v>0</v>
      </c>
    </row>
    <row r="98" spans="1:9" ht="12.75">
      <c r="A98" s="8" t="s">
        <v>39</v>
      </c>
      <c r="B98" s="36">
        <f>290979247.99/1000</f>
        <v>290979.24799</v>
      </c>
      <c r="C98" s="71">
        <v>7430.181890000001</v>
      </c>
      <c r="D98" s="71">
        <v>7430.18189</v>
      </c>
      <c r="E98" s="29">
        <f>$D:$D/$B:$B*100</f>
        <v>2.553509207727195</v>
      </c>
      <c r="F98" s="29">
        <f>$D:$D/$C:$C*100</f>
        <v>99.99999999999999</v>
      </c>
      <c r="G98" s="36">
        <v>8809.9</v>
      </c>
      <c r="H98" s="29">
        <f>$D:$D/$G:$G*100</f>
        <v>84.33900373443512</v>
      </c>
      <c r="I98" s="36">
        <f t="shared" si="2"/>
        <v>7430.18189</v>
      </c>
    </row>
    <row r="99" spans="1:9" ht="12.75">
      <c r="A99" s="8" t="s">
        <v>40</v>
      </c>
      <c r="B99" s="36">
        <f>121101400.65/1000</f>
        <v>121101.40065000001</v>
      </c>
      <c r="C99" s="71">
        <v>22270.03205</v>
      </c>
      <c r="D99" s="71">
        <v>4998.04709</v>
      </c>
      <c r="E99" s="29">
        <f>$D:$D/$B:$B*100</f>
        <v>4.127158780305981</v>
      </c>
      <c r="F99" s="29">
        <f>$D:$D/$C:$C*100</f>
        <v>22.442927243115484</v>
      </c>
      <c r="G99" s="36">
        <v>5736.4</v>
      </c>
      <c r="H99" s="29">
        <f>$D:$D/$G:$G*100</f>
        <v>87.12863625270205</v>
      </c>
      <c r="I99" s="36">
        <f t="shared" si="2"/>
        <v>4998.04709</v>
      </c>
    </row>
    <row r="100" spans="1:9" ht="12.75">
      <c r="A100" s="11" t="s">
        <v>115</v>
      </c>
      <c r="B100" s="35">
        <f>B101</f>
        <v>1950.5</v>
      </c>
      <c r="C100" s="30">
        <f>C101</f>
        <v>127.74</v>
      </c>
      <c r="D100" s="30">
        <f>D101</f>
        <v>127.74</v>
      </c>
      <c r="E100" s="26">
        <f>$D:$D/$B:$B*100</f>
        <v>6.549089976928993</v>
      </c>
      <c r="F100" s="26"/>
      <c r="G100" s="35">
        <f>G101</f>
        <v>136.6</v>
      </c>
      <c r="H100" s="26">
        <v>0</v>
      </c>
      <c r="I100" s="35">
        <f t="shared" si="2"/>
        <v>127.74</v>
      </c>
    </row>
    <row r="101" spans="1:9" ht="25.5">
      <c r="A101" s="41" t="s">
        <v>143</v>
      </c>
      <c r="B101" s="36">
        <f>1950500/1000</f>
        <v>1950.5</v>
      </c>
      <c r="C101" s="71">
        <v>127.74</v>
      </c>
      <c r="D101" s="71">
        <v>127.74</v>
      </c>
      <c r="E101" s="29">
        <f>$D:$D/$B:$B*100</f>
        <v>6.549089976928993</v>
      </c>
      <c r="F101" s="29"/>
      <c r="G101" s="36">
        <v>136.6</v>
      </c>
      <c r="H101" s="29">
        <v>0</v>
      </c>
      <c r="I101" s="36">
        <f t="shared" si="2"/>
        <v>127.74</v>
      </c>
    </row>
    <row r="102" spans="1:9" ht="12.75">
      <c r="A102" s="11" t="s">
        <v>41</v>
      </c>
      <c r="B102" s="35">
        <f>B103+B104+B106+B107+B108+B105</f>
        <v>1605135.2870000005</v>
      </c>
      <c r="C102" s="30">
        <f>C103+C104+C106+C107+C108+C105</f>
        <v>310360.28459999996</v>
      </c>
      <c r="D102" s="30">
        <f>D103+D104+D106+D107+D108+D105</f>
        <v>310226.97911</v>
      </c>
      <c r="E102" s="35">
        <f>E103+E104+E107+E108+E106</f>
        <v>72.90581485579395</v>
      </c>
      <c r="F102" s="35">
        <f>F103+F104+F107+F108+F106</f>
        <v>499.62218385137123</v>
      </c>
      <c r="G102" s="35">
        <f>G103+G104+G105+G107+G108+G106</f>
        <v>290002.26</v>
      </c>
      <c r="H102" s="35">
        <f>H103+H104+H107+H108+H106</f>
        <v>420.7358927413277</v>
      </c>
      <c r="I102" s="35">
        <f t="shared" si="2"/>
        <v>310226.97911</v>
      </c>
    </row>
    <row r="103" spans="1:9" ht="12.75">
      <c r="A103" s="8" t="s">
        <v>42</v>
      </c>
      <c r="B103" s="36">
        <f>601601900/1000</f>
        <v>601601.9</v>
      </c>
      <c r="C103" s="71">
        <v>123503.9636</v>
      </c>
      <c r="D103" s="71">
        <v>123499.6752</v>
      </c>
      <c r="E103" s="29">
        <f aca="true" t="shared" si="3" ref="E103:E120">$D:$D/$B:$B*100</f>
        <v>20.52847160223397</v>
      </c>
      <c r="F103" s="29">
        <f aca="true" t="shared" si="4" ref="F103:F111">$D:$D/$C:$C*100</f>
        <v>99.99652772277504</v>
      </c>
      <c r="G103" s="36">
        <v>114494</v>
      </c>
      <c r="H103" s="29">
        <f>$D:$D/$G:$G*100</f>
        <v>107.86563068807098</v>
      </c>
      <c r="I103" s="36">
        <f t="shared" si="2"/>
        <v>123499.6752</v>
      </c>
    </row>
    <row r="104" spans="1:9" ht="12.75">
      <c r="A104" s="8" t="s">
        <v>43</v>
      </c>
      <c r="B104" s="36">
        <f>636730121/1000</f>
        <v>636730.121</v>
      </c>
      <c r="C104" s="71">
        <v>121792.82254</v>
      </c>
      <c r="D104" s="71">
        <v>121792.82254000001</v>
      </c>
      <c r="E104" s="29">
        <f t="shared" si="3"/>
        <v>19.127856296278466</v>
      </c>
      <c r="F104" s="29">
        <f t="shared" si="4"/>
        <v>100.00000000000003</v>
      </c>
      <c r="G104" s="36">
        <v>114592.9</v>
      </c>
      <c r="H104" s="29">
        <f>$D:$D/$G:$G*100</f>
        <v>106.28304418511097</v>
      </c>
      <c r="I104" s="36">
        <f t="shared" si="2"/>
        <v>121792.82254000001</v>
      </c>
    </row>
    <row r="105" spans="1:9" ht="12.75">
      <c r="A105" s="22" t="s">
        <v>105</v>
      </c>
      <c r="B105" s="36">
        <f>141129380/1000</f>
        <v>141129.38</v>
      </c>
      <c r="C105" s="71">
        <v>25932.50765</v>
      </c>
      <c r="D105" s="71">
        <v>25932.50765</v>
      </c>
      <c r="E105" s="29">
        <f t="shared" si="3"/>
        <v>18.374988716027804</v>
      </c>
      <c r="F105" s="29">
        <f t="shared" si="4"/>
        <v>100</v>
      </c>
      <c r="G105" s="36">
        <v>24997.86</v>
      </c>
      <c r="H105" s="29">
        <f>$D:$D/$G:$G*100</f>
        <v>103.73891065075169</v>
      </c>
      <c r="I105" s="36">
        <f t="shared" si="2"/>
        <v>25932.50765</v>
      </c>
    </row>
    <row r="106" spans="1:9" ht="25.5">
      <c r="A106" s="8" t="s">
        <v>123</v>
      </c>
      <c r="B106" s="36">
        <f>1704870/1000</f>
        <v>1704.87</v>
      </c>
      <c r="C106" s="71">
        <v>76.24</v>
      </c>
      <c r="D106" s="71">
        <v>76.24</v>
      </c>
      <c r="E106" s="29">
        <f t="shared" si="3"/>
        <v>4.4718952178171945</v>
      </c>
      <c r="F106" s="29">
        <f t="shared" si="4"/>
        <v>100</v>
      </c>
      <c r="G106" s="36">
        <v>82.9</v>
      </c>
      <c r="H106" s="29">
        <v>0</v>
      </c>
      <c r="I106" s="36">
        <f t="shared" si="2"/>
        <v>76.24</v>
      </c>
    </row>
    <row r="107" spans="1:9" ht="12.75">
      <c r="A107" s="8" t="s">
        <v>44</v>
      </c>
      <c r="B107" s="36">
        <f>52293739/1000</f>
        <v>52293.739</v>
      </c>
      <c r="C107" s="71">
        <v>4589.89113</v>
      </c>
      <c r="D107" s="71">
        <v>4589.89113</v>
      </c>
      <c r="E107" s="29">
        <f t="shared" si="3"/>
        <v>8.777133205181599</v>
      </c>
      <c r="F107" s="29">
        <f t="shared" si="4"/>
        <v>100</v>
      </c>
      <c r="G107" s="36">
        <v>4780.1</v>
      </c>
      <c r="H107" s="29">
        <f>$D:$D/$G:$G*100</f>
        <v>96.02081818372</v>
      </c>
      <c r="I107" s="36">
        <f t="shared" si="2"/>
        <v>4589.89113</v>
      </c>
    </row>
    <row r="108" spans="1:9" ht="12.75">
      <c r="A108" s="8" t="s">
        <v>45</v>
      </c>
      <c r="B108" s="36">
        <f>171675277/1000</f>
        <v>171675.277</v>
      </c>
      <c r="C108" s="71">
        <v>34464.85968</v>
      </c>
      <c r="D108" s="71">
        <v>34335.84259</v>
      </c>
      <c r="E108" s="29">
        <f t="shared" si="3"/>
        <v>20.00045853428272</v>
      </c>
      <c r="F108" s="29">
        <f t="shared" si="4"/>
        <v>99.62565612859619</v>
      </c>
      <c r="G108" s="28">
        <v>31054.5</v>
      </c>
      <c r="H108" s="29">
        <f>$D:$D/$G:$G*100</f>
        <v>110.56639968442576</v>
      </c>
      <c r="I108" s="36">
        <f t="shared" si="2"/>
        <v>34335.84259</v>
      </c>
    </row>
    <row r="109" spans="1:9" ht="25.5">
      <c r="A109" s="11" t="s">
        <v>46</v>
      </c>
      <c r="B109" s="35">
        <f>B110+B111</f>
        <v>281596.454</v>
      </c>
      <c r="C109" s="30">
        <f>C110+C111</f>
        <v>25614.88217</v>
      </c>
      <c r="D109" s="30">
        <f>D110+D111</f>
        <v>25614.88217</v>
      </c>
      <c r="E109" s="26">
        <f t="shared" si="3"/>
        <v>9.096308496129001</v>
      </c>
      <c r="F109" s="26">
        <f t="shared" si="4"/>
        <v>100</v>
      </c>
      <c r="G109" s="35">
        <f>G110+G111</f>
        <v>23355.1</v>
      </c>
      <c r="H109" s="26">
        <f>$D:$D/$G:$G*100</f>
        <v>109.67575463175068</v>
      </c>
      <c r="I109" s="35">
        <f t="shared" si="2"/>
        <v>25614.88217</v>
      </c>
    </row>
    <row r="110" spans="1:9" ht="12.75">
      <c r="A110" s="8" t="s">
        <v>47</v>
      </c>
      <c r="B110" s="36">
        <f>196946894/1000</f>
        <v>196946.894</v>
      </c>
      <c r="C110" s="71">
        <v>25140.84447</v>
      </c>
      <c r="D110" s="71">
        <v>25140.84447</v>
      </c>
      <c r="E110" s="29">
        <f t="shared" si="3"/>
        <v>12.765291170319243</v>
      </c>
      <c r="F110" s="29">
        <f t="shared" si="4"/>
        <v>100</v>
      </c>
      <c r="G110" s="36">
        <v>22723.6</v>
      </c>
      <c r="H110" s="29">
        <f>$D:$D/$G:$G*100</f>
        <v>110.63759470330406</v>
      </c>
      <c r="I110" s="36">
        <f t="shared" si="2"/>
        <v>25140.84447</v>
      </c>
    </row>
    <row r="111" spans="1:9" ht="25.5">
      <c r="A111" s="8" t="s">
        <v>48</v>
      </c>
      <c r="B111" s="36">
        <f>84649560/1000</f>
        <v>84649.56</v>
      </c>
      <c r="C111" s="71">
        <v>474.0377</v>
      </c>
      <c r="D111" s="71">
        <v>474.03770000000003</v>
      </c>
      <c r="E111" s="29">
        <f t="shared" si="3"/>
        <v>0.560000193739932</v>
      </c>
      <c r="F111" s="29">
        <f t="shared" si="4"/>
        <v>100.00000000000003</v>
      </c>
      <c r="G111" s="36">
        <v>631.5</v>
      </c>
      <c r="H111" s="29">
        <v>0</v>
      </c>
      <c r="I111" s="36">
        <f t="shared" si="2"/>
        <v>474.03770000000003</v>
      </c>
    </row>
    <row r="112" spans="1:9" ht="12.75">
      <c r="A112" s="11" t="s">
        <v>97</v>
      </c>
      <c r="B112" s="35">
        <f>B113</f>
        <v>158.13</v>
      </c>
      <c r="C112" s="30">
        <f>C113</f>
        <v>0</v>
      </c>
      <c r="D112" s="30">
        <f>D113</f>
        <v>0</v>
      </c>
      <c r="E112" s="26">
        <f t="shared" si="3"/>
        <v>0</v>
      </c>
      <c r="F112" s="26">
        <v>0</v>
      </c>
      <c r="G112" s="35">
        <f>G113</f>
        <v>0</v>
      </c>
      <c r="H112" s="26">
        <v>0</v>
      </c>
      <c r="I112" s="36">
        <f t="shared" si="2"/>
        <v>0</v>
      </c>
    </row>
    <row r="113" spans="1:9" ht="12.75">
      <c r="A113" s="8" t="s">
        <v>98</v>
      </c>
      <c r="B113" s="36">
        <f>158130/1000</f>
        <v>158.13</v>
      </c>
      <c r="C113" s="82">
        <v>0</v>
      </c>
      <c r="D113" s="82">
        <v>0</v>
      </c>
      <c r="E113" s="29">
        <f t="shared" si="3"/>
        <v>0</v>
      </c>
      <c r="F113" s="29">
        <v>0</v>
      </c>
      <c r="G113" s="36">
        <v>0</v>
      </c>
      <c r="H113" s="29">
        <v>0</v>
      </c>
      <c r="I113" s="36">
        <f t="shared" si="2"/>
        <v>0</v>
      </c>
    </row>
    <row r="114" spans="1:9" ht="12.75">
      <c r="A114" s="11" t="s">
        <v>49</v>
      </c>
      <c r="B114" s="35">
        <f>B115+B116+B117+B118</f>
        <v>176555.7547</v>
      </c>
      <c r="C114" s="30">
        <f>SUM(C115:C118)</f>
        <v>16840.877930000002</v>
      </c>
      <c r="D114" s="30">
        <f>D115++D116+D117+D118</f>
        <v>16840.61793</v>
      </c>
      <c r="E114" s="26">
        <f t="shared" si="3"/>
        <v>9.53841349358181</v>
      </c>
      <c r="F114" s="26">
        <f>$D:$D/$C:$C*100</f>
        <v>99.99845613749424</v>
      </c>
      <c r="G114" s="35">
        <f>G115+G116+G117+G118+G119</f>
        <v>34692.6</v>
      </c>
      <c r="H114" s="26">
        <v>0</v>
      </c>
      <c r="I114" s="36">
        <f t="shared" si="2"/>
        <v>16840.61793</v>
      </c>
    </row>
    <row r="115" spans="1:9" ht="12.75">
      <c r="A115" s="8" t="s">
        <v>50</v>
      </c>
      <c r="B115" s="36">
        <f>2909750/1000</f>
        <v>2909.75</v>
      </c>
      <c r="C115" s="71">
        <v>426.51244</v>
      </c>
      <c r="D115" s="71">
        <v>426.51244</v>
      </c>
      <c r="E115" s="29">
        <f t="shared" si="3"/>
        <v>14.658044161869576</v>
      </c>
      <c r="F115" s="29">
        <v>0</v>
      </c>
      <c r="G115" s="36">
        <v>466</v>
      </c>
      <c r="H115" s="29">
        <v>0</v>
      </c>
      <c r="I115" s="36">
        <f t="shared" si="2"/>
        <v>426.51244</v>
      </c>
    </row>
    <row r="116" spans="1:9" ht="12.75">
      <c r="A116" s="8" t="s">
        <v>52</v>
      </c>
      <c r="B116" s="36">
        <f>87342751.7/1000</f>
        <v>87342.75170000001</v>
      </c>
      <c r="C116" s="71">
        <v>15146.01516</v>
      </c>
      <c r="D116" s="71">
        <v>15146.01516</v>
      </c>
      <c r="E116" s="29">
        <f t="shared" si="3"/>
        <v>17.34089534071778</v>
      </c>
      <c r="F116" s="29">
        <f>$D:$D/$C:$C*100</f>
        <v>100</v>
      </c>
      <c r="G116" s="36">
        <v>16261</v>
      </c>
      <c r="H116" s="29">
        <v>0</v>
      </c>
      <c r="I116" s="36">
        <f t="shared" si="2"/>
        <v>15146.01516</v>
      </c>
    </row>
    <row r="117" spans="1:9" ht="12.75">
      <c r="A117" s="8" t="s">
        <v>53</v>
      </c>
      <c r="B117" s="28">
        <f>84166253/1000</f>
        <v>84166.253</v>
      </c>
      <c r="C117" s="71">
        <v>809.715</v>
      </c>
      <c r="D117" s="71">
        <v>809.455</v>
      </c>
      <c r="E117" s="29">
        <f t="shared" si="3"/>
        <v>0.9617334396483114</v>
      </c>
      <c r="F117" s="29">
        <v>0</v>
      </c>
      <c r="G117" s="28">
        <v>1038.7</v>
      </c>
      <c r="H117" s="29">
        <v>0</v>
      </c>
      <c r="I117" s="36">
        <f t="shared" si="2"/>
        <v>809.455</v>
      </c>
    </row>
    <row r="118" spans="1:9" ht="12.75">
      <c r="A118" s="8" t="s">
        <v>54</v>
      </c>
      <c r="B118" s="36">
        <f>2137000/1000</f>
        <v>2137</v>
      </c>
      <c r="C118" s="71">
        <v>458.63533</v>
      </c>
      <c r="D118" s="71">
        <v>458.63533</v>
      </c>
      <c r="E118" s="29">
        <f t="shared" si="3"/>
        <v>21.461643893308377</v>
      </c>
      <c r="F118" s="29">
        <f>$D:$D/$C:$C*100</f>
        <v>100</v>
      </c>
      <c r="G118" s="36">
        <v>509.8</v>
      </c>
      <c r="H118" s="29">
        <f>$D:$D/$G:$G*100</f>
        <v>89.96377599058454</v>
      </c>
      <c r="I118" s="36">
        <f t="shared" si="2"/>
        <v>458.63533</v>
      </c>
    </row>
    <row r="119" spans="1:9" ht="12.75">
      <c r="A119" s="11" t="s">
        <v>61</v>
      </c>
      <c r="B119" s="27">
        <f>B120+B121+B122</f>
        <v>210722.454</v>
      </c>
      <c r="C119" s="85">
        <f>C120+C121+C122</f>
        <v>17151.1631</v>
      </c>
      <c r="D119" s="85">
        <f>D120+D121+D122</f>
        <v>16917.542739999997</v>
      </c>
      <c r="E119" s="26">
        <f t="shared" si="3"/>
        <v>8.028353134118301</v>
      </c>
      <c r="F119" s="26">
        <f>$D:$D/$C:$C*100</f>
        <v>98.63787453575085</v>
      </c>
      <c r="G119" s="27">
        <f>G120+G121+G122</f>
        <v>16417.1</v>
      </c>
      <c r="H119" s="26">
        <f>$D:$D/$G:$G*100</f>
        <v>103.04830170980257</v>
      </c>
      <c r="I119" s="36">
        <f t="shared" si="2"/>
        <v>16917.542739999997</v>
      </c>
    </row>
    <row r="120" spans="1:9" ht="12.75">
      <c r="A120" s="41" t="s">
        <v>62</v>
      </c>
      <c r="B120" s="28">
        <f>99648015.86/1000</f>
        <v>99648.01586</v>
      </c>
      <c r="C120" s="71">
        <v>15542.313370000002</v>
      </c>
      <c r="D120" s="71">
        <v>15542.313289999998</v>
      </c>
      <c r="E120" s="29">
        <f t="shared" si="3"/>
        <v>15.59721300606336</v>
      </c>
      <c r="F120" s="29">
        <f>$D:$D/$C:$C*100</f>
        <v>99.99999948527609</v>
      </c>
      <c r="G120" s="28">
        <v>14557.2</v>
      </c>
      <c r="H120" s="29">
        <v>0</v>
      </c>
      <c r="I120" s="36">
        <f t="shared" si="2"/>
        <v>15542.313289999998</v>
      </c>
    </row>
    <row r="121" spans="1:9" ht="24.75" customHeight="1">
      <c r="A121" s="12" t="s">
        <v>63</v>
      </c>
      <c r="B121" s="28">
        <f>106942468.14/1000</f>
        <v>106942.46814</v>
      </c>
      <c r="C121" s="71">
        <v>602.9848400000001</v>
      </c>
      <c r="D121" s="71">
        <v>602.98484</v>
      </c>
      <c r="E121" s="29">
        <v>0</v>
      </c>
      <c r="F121" s="29">
        <v>0</v>
      </c>
      <c r="G121" s="28">
        <v>976.8</v>
      </c>
      <c r="H121" s="29">
        <v>0</v>
      </c>
      <c r="I121" s="36">
        <f t="shared" si="2"/>
        <v>602.98484</v>
      </c>
    </row>
    <row r="122" spans="1:9" ht="25.5">
      <c r="A122" s="12" t="s">
        <v>73</v>
      </c>
      <c r="B122" s="28">
        <f>4131970/1000</f>
        <v>4131.97</v>
      </c>
      <c r="C122" s="71">
        <v>1005.8648900000001</v>
      </c>
      <c r="D122" s="71">
        <v>772.24461</v>
      </c>
      <c r="E122" s="29">
        <f>$D:$D/$B:$B*100</f>
        <v>18.689501859887656</v>
      </c>
      <c r="F122" s="29">
        <f>$D:$D/$C:$C*100</f>
        <v>76.77418882768639</v>
      </c>
      <c r="G122" s="28">
        <v>883.1</v>
      </c>
      <c r="H122" s="29">
        <v>0</v>
      </c>
      <c r="I122" s="36">
        <f t="shared" si="2"/>
        <v>772.24461</v>
      </c>
    </row>
    <row r="123" spans="1:9" ht="26.25" customHeight="1">
      <c r="A123" s="13" t="s">
        <v>80</v>
      </c>
      <c r="B123" s="27">
        <f>B124</f>
        <v>100</v>
      </c>
      <c r="C123" s="71">
        <v>2.01384</v>
      </c>
      <c r="D123" s="71"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2"/>
        <v>2.01384</v>
      </c>
    </row>
    <row r="124" spans="1:9" ht="13.5" customHeight="1">
      <c r="A124" s="12" t="s">
        <v>81</v>
      </c>
      <c r="B124" s="28">
        <v>100</v>
      </c>
      <c r="C124" s="82">
        <f>2013.84/1000</f>
        <v>2.01384</v>
      </c>
      <c r="D124" s="82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2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441334.43043</v>
      </c>
      <c r="D125" s="35">
        <f>D78+D87+D88+D89+D95+D102+D109+D112+D114+D119+D123+D100</f>
        <v>421362.94799</v>
      </c>
      <c r="E125" s="26">
        <f>$D:$D/$B:$B*100</f>
        <v>13.233231561460931</v>
      </c>
      <c r="F125" s="26">
        <f>$D:$D/$C:$C*100</f>
        <v>95.4747508775734</v>
      </c>
      <c r="G125" s="35">
        <f>G77+G86+G87+G88+G94+G101+G108+G111+G113+G119+G123+G99</f>
        <v>66239.59999999999</v>
      </c>
      <c r="H125" s="26">
        <f>$D:$D/$G:$G*100</f>
        <v>636.1194028798484</v>
      </c>
      <c r="I125" s="35">
        <f>I78+I87+I88+I89+I95+I102+I109+I112+I114+I119+I123</f>
        <v>421138.40634000005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58857.63024000003</v>
      </c>
      <c r="D126" s="30">
        <f>D72-D125</f>
        <v>49046.340079999994</v>
      </c>
      <c r="E126" s="30"/>
      <c r="F126" s="30"/>
      <c r="G126" s="30">
        <f>G75-G125</f>
        <v>-66239.59999999999</v>
      </c>
      <c r="H126" s="30"/>
      <c r="I126" s="30">
        <f>I72-I125</f>
        <v>-246191.71475000004</v>
      </c>
    </row>
    <row r="127" spans="1:9" ht="24" customHeight="1">
      <c r="A127" s="1" t="s">
        <v>57</v>
      </c>
      <c r="B127" s="28" t="s">
        <v>165</v>
      </c>
      <c r="C127" s="28"/>
      <c r="D127" s="28" t="s">
        <v>160</v>
      </c>
      <c r="E127" s="28"/>
      <c r="F127" s="28"/>
      <c r="G127" s="28" t="s">
        <v>161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79891.2</v>
      </c>
      <c r="E128" s="28"/>
      <c r="F128" s="28"/>
      <c r="G128" s="27">
        <f>G130+G131</f>
        <v>40741.8</v>
      </c>
      <c r="H128" s="37"/>
      <c r="I128" s="28">
        <f>D128</f>
        <v>79891.2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Февраль!B130</f>
        <v>24892.3</v>
      </c>
      <c r="C130" s="28"/>
      <c r="D130" s="28">
        <v>13531.9</v>
      </c>
      <c r="E130" s="28"/>
      <c r="F130" s="28"/>
      <c r="G130" s="28">
        <v>7458.5</v>
      </c>
      <c r="H130" s="37"/>
      <c r="I130" s="28">
        <f>D130</f>
        <v>13531.9</v>
      </c>
    </row>
    <row r="131" spans="1:9" ht="12.75">
      <c r="A131" s="1" t="s">
        <v>60</v>
      </c>
      <c r="B131" s="44">
        <f>Февраль!B131</f>
        <v>17979.4</v>
      </c>
      <c r="C131" s="28"/>
      <c r="D131" s="28">
        <f>79891.2-13531.9</f>
        <v>66359.3</v>
      </c>
      <c r="E131" s="28"/>
      <c r="F131" s="28"/>
      <c r="G131" s="28">
        <f>40741.8-7458.5</f>
        <v>33283.3</v>
      </c>
      <c r="H131" s="37"/>
      <c r="I131" s="28">
        <f>D131</f>
        <v>66359.3</v>
      </c>
    </row>
    <row r="132" spans="1:9" ht="12.75">
      <c r="A132" s="3" t="s">
        <v>99</v>
      </c>
      <c r="B132" s="43">
        <f>B133-B134</f>
        <v>52410</v>
      </c>
      <c r="C132" s="40"/>
      <c r="D132" s="27"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64460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12050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zoomScale="85" zoomScaleNormal="85" zoomScalePageLayoutView="0" workbookViewId="0" topLeftCell="A1">
      <pane xSplit="1" ySplit="6" topLeftCell="B1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5" sqref="C14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163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0">
        <f>B8+B16+B21+B26+B29+B36++B45+B46+B47+B51+B62</f>
        <v>714424.4899999999</v>
      </c>
      <c r="C7" s="30">
        <f>C8+C16+C21+C26+C29</f>
        <v>214352.69875</v>
      </c>
      <c r="D7" s="30">
        <f>D8+D16+D21+D26+D29+D36+D45+D46+D47+D51+D62</f>
        <v>221241.6</v>
      </c>
      <c r="E7" s="86">
        <f aca="true" t="shared" si="0" ref="E7:E22">$D:$D/$B:$B*100</f>
        <v>30.96780738857371</v>
      </c>
      <c r="F7" s="86">
        <v>27699.089999999997</v>
      </c>
      <c r="G7" s="30">
        <f>G8+G16+G21+G26+G29+G33+G36+G45+G46+G47+G51+G62</f>
        <v>180839.30000000002</v>
      </c>
      <c r="H7" s="86">
        <f aca="true" t="shared" si="1" ref="H7:H48">$D:$D/$G:$G*100</f>
        <v>122.34154854614012</v>
      </c>
      <c r="I7" s="30">
        <f>D7-Март!D7</f>
        <v>51009.10019999996</v>
      </c>
    </row>
    <row r="8" spans="1:9" ht="12.75">
      <c r="A8" s="52" t="s">
        <v>4</v>
      </c>
      <c r="B8" s="86">
        <f>B9+B10</f>
        <v>381187.89999999997</v>
      </c>
      <c r="C8" s="86">
        <f>C9+C10</f>
        <v>136481.98</v>
      </c>
      <c r="D8" s="86">
        <f>D9+D10</f>
        <v>126230.90000000002</v>
      </c>
      <c r="E8" s="86">
        <f t="shared" si="0"/>
        <v>33.11513822972871</v>
      </c>
      <c r="F8" s="86">
        <v>10645.39</v>
      </c>
      <c r="G8" s="86">
        <f>G9+G10</f>
        <v>88490.77</v>
      </c>
      <c r="H8" s="86">
        <f t="shared" si="1"/>
        <v>142.64866267973485</v>
      </c>
      <c r="I8" s="30">
        <f>D8-Март!D8</f>
        <v>16178.763500000015</v>
      </c>
    </row>
    <row r="9" spans="1:9" ht="25.5">
      <c r="A9" s="53" t="s">
        <v>5</v>
      </c>
      <c r="B9" s="87">
        <v>8446.3</v>
      </c>
      <c r="C9" s="87">
        <v>3000</v>
      </c>
      <c r="D9" s="87">
        <v>2223.1</v>
      </c>
      <c r="E9" s="86">
        <f t="shared" si="0"/>
        <v>26.320400648804803</v>
      </c>
      <c r="F9" s="86">
        <v>200.86</v>
      </c>
      <c r="G9" s="87">
        <v>4352.0599999999995</v>
      </c>
      <c r="H9" s="86">
        <f t="shared" si="1"/>
        <v>51.08155678000763</v>
      </c>
      <c r="I9" s="30">
        <f>D9-Март!D9</f>
        <v>205.00874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133481.98</v>
      </c>
      <c r="D10" s="92">
        <f>SUM(D11:D15)</f>
        <v>124007.80000000002</v>
      </c>
      <c r="E10" s="86">
        <f t="shared" si="0"/>
        <v>33.26910653385617</v>
      </c>
      <c r="F10" s="86">
        <v>10444.529999999999</v>
      </c>
      <c r="G10" s="92">
        <f>SUM(G11:G15)</f>
        <v>84138.71</v>
      </c>
      <c r="H10" s="86">
        <f t="shared" si="1"/>
        <v>147.3849551532226</v>
      </c>
      <c r="I10" s="30">
        <f>D10-Март!D10</f>
        <v>15973.75476000001</v>
      </c>
    </row>
    <row r="11" spans="1:9" ht="51">
      <c r="A11" s="56" t="s">
        <v>74</v>
      </c>
      <c r="B11" s="85">
        <v>313856.6</v>
      </c>
      <c r="C11" s="85">
        <v>85073.6</v>
      </c>
      <c r="D11" s="85">
        <v>73871.1</v>
      </c>
      <c r="E11" s="86">
        <f t="shared" si="0"/>
        <v>23.536576895308244</v>
      </c>
      <c r="F11" s="86">
        <v>10058</v>
      </c>
      <c r="G11" s="85">
        <v>81902.09999999999</v>
      </c>
      <c r="H11" s="48">
        <f t="shared" si="1"/>
        <v>90.19439062002076</v>
      </c>
      <c r="I11" s="82">
        <f>D11-Март!D11</f>
        <v>14450.646100000005</v>
      </c>
    </row>
    <row r="12" spans="1:9" ht="94.5" customHeight="1">
      <c r="A12" s="56" t="s">
        <v>75</v>
      </c>
      <c r="B12" s="85">
        <v>6481.5</v>
      </c>
      <c r="C12" s="85">
        <v>841.1</v>
      </c>
      <c r="D12" s="85">
        <v>867.9</v>
      </c>
      <c r="E12" s="86">
        <f t="shared" si="0"/>
        <v>13.390418884517471</v>
      </c>
      <c r="F12" s="86">
        <v>81.56</v>
      </c>
      <c r="G12" s="85">
        <v>825.99</v>
      </c>
      <c r="H12" s="48">
        <f t="shared" si="1"/>
        <v>105.0739113064323</v>
      </c>
      <c r="I12" s="82">
        <f>D12-Март!D12</f>
        <v>752.3947499999999</v>
      </c>
    </row>
    <row r="13" spans="1:9" ht="25.5">
      <c r="A13" s="56" t="s">
        <v>76</v>
      </c>
      <c r="B13" s="85">
        <f>3576400/1000</f>
        <v>3576.4</v>
      </c>
      <c r="C13" s="85">
        <v>637</v>
      </c>
      <c r="D13" s="85">
        <v>1510.6</v>
      </c>
      <c r="E13" s="86">
        <f t="shared" si="0"/>
        <v>42.23800469746113</v>
      </c>
      <c r="F13" s="86">
        <v>117.15</v>
      </c>
      <c r="G13" s="85">
        <v>620.16</v>
      </c>
      <c r="H13" s="48">
        <f t="shared" si="1"/>
        <v>243.58230134158924</v>
      </c>
      <c r="I13" s="82">
        <f>D13-Март!D13</f>
        <v>380.42751999999996</v>
      </c>
    </row>
    <row r="14" spans="1:9" ht="63.75">
      <c r="A14" s="56" t="s">
        <v>78</v>
      </c>
      <c r="B14" s="85">
        <f>2580100/1000</f>
        <v>2580.1</v>
      </c>
      <c r="C14" s="85">
        <v>683.3</v>
      </c>
      <c r="D14" s="85">
        <v>1181.1</v>
      </c>
      <c r="E14" s="86">
        <f t="shared" si="0"/>
        <v>45.777295453664586</v>
      </c>
      <c r="F14" s="86">
        <v>187.82</v>
      </c>
      <c r="G14" s="85">
        <v>620.61</v>
      </c>
      <c r="H14" s="48">
        <f t="shared" si="1"/>
        <v>190.3127568037898</v>
      </c>
      <c r="I14" s="82">
        <f>D14-Март!D14</f>
        <v>375.0799499999998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46577.1</v>
      </c>
      <c r="E15" s="86">
        <f t="shared" si="0"/>
        <v>100.71377602871536</v>
      </c>
      <c r="F15" s="86"/>
      <c r="G15" s="85">
        <v>169.85000000000002</v>
      </c>
      <c r="H15" s="48">
        <f t="shared" si="1"/>
        <v>27422.490432734758</v>
      </c>
      <c r="I15" s="82">
        <f>D15-Март!D15</f>
        <v>15.206439999994473</v>
      </c>
    </row>
    <row r="16" spans="1:9" ht="39.75" customHeight="1">
      <c r="A16" s="58" t="s">
        <v>82</v>
      </c>
      <c r="B16" s="87">
        <f>SUM(B17:B20)</f>
        <v>55588</v>
      </c>
      <c r="C16" s="87">
        <v>16793.1</v>
      </c>
      <c r="D16" s="87">
        <v>17999.9</v>
      </c>
      <c r="E16" s="86">
        <f t="shared" si="0"/>
        <v>32.38090954882349</v>
      </c>
      <c r="F16" s="86">
        <v>1853.18</v>
      </c>
      <c r="G16" s="30">
        <f>G17+G18+G19+G20</f>
        <v>7432.4</v>
      </c>
      <c r="H16" s="86">
        <f t="shared" si="1"/>
        <v>242.18152951940155</v>
      </c>
      <c r="I16" s="30">
        <f>D16-Март!D16</f>
        <v>3663.6926999999996</v>
      </c>
    </row>
    <row r="17" spans="1:9" ht="37.5" customHeight="1">
      <c r="A17" s="39" t="s">
        <v>83</v>
      </c>
      <c r="B17" s="82">
        <v>25133.1</v>
      </c>
      <c r="C17" s="82">
        <v>7424.9</v>
      </c>
      <c r="D17" s="82">
        <v>8785.5</v>
      </c>
      <c r="E17" s="86">
        <f t="shared" si="0"/>
        <v>34.95589481599962</v>
      </c>
      <c r="F17" s="86">
        <v>844.23</v>
      </c>
      <c r="G17" s="85">
        <v>3358</v>
      </c>
      <c r="H17" s="48">
        <f t="shared" si="1"/>
        <v>261.62894580107206</v>
      </c>
      <c r="I17" s="82">
        <f>D17-Март!D17</f>
        <v>1900.4688499999993</v>
      </c>
    </row>
    <row r="18" spans="1:9" ht="56.25" customHeight="1">
      <c r="A18" s="39" t="s">
        <v>84</v>
      </c>
      <c r="B18" s="82">
        <v>139.1</v>
      </c>
      <c r="C18" s="82">
        <v>46.3</v>
      </c>
      <c r="D18" s="82">
        <v>60.3</v>
      </c>
      <c r="E18" s="86">
        <f t="shared" si="0"/>
        <v>43.350107836089144</v>
      </c>
      <c r="F18" s="86">
        <v>5.74</v>
      </c>
      <c r="G18" s="85">
        <v>24.8</v>
      </c>
      <c r="H18" s="48">
        <f t="shared" si="1"/>
        <v>243.14516129032256</v>
      </c>
      <c r="I18" s="82">
        <f>D18-Март!D18</f>
        <v>16.182419999999993</v>
      </c>
    </row>
    <row r="19" spans="1:9" ht="55.5" customHeight="1">
      <c r="A19" s="39" t="s">
        <v>85</v>
      </c>
      <c r="B19" s="82">
        <f>33467400/1000</f>
        <v>33467.4</v>
      </c>
      <c r="C19" s="82">
        <v>10501</v>
      </c>
      <c r="D19" s="82">
        <v>10425.9</v>
      </c>
      <c r="E19" s="86">
        <f t="shared" si="0"/>
        <v>31.152405026981477</v>
      </c>
      <c r="F19" s="86">
        <v>1158.41</v>
      </c>
      <c r="G19" s="85">
        <v>4659.33</v>
      </c>
      <c r="H19" s="48">
        <f t="shared" si="1"/>
        <v>223.76393172408905</v>
      </c>
      <c r="I19" s="82">
        <f>D19-Март!D19</f>
        <v>2095.1259599999994</v>
      </c>
    </row>
    <row r="20" spans="1:9" ht="15.75" customHeight="1">
      <c r="A20" s="39" t="s">
        <v>86</v>
      </c>
      <c r="B20" s="82">
        <v>-3151.6</v>
      </c>
      <c r="C20" s="82">
        <v>-1179</v>
      </c>
      <c r="D20" s="82">
        <v>-1271.9</v>
      </c>
      <c r="E20" s="86">
        <f t="shared" si="0"/>
        <v>40.357278842492704</v>
      </c>
      <c r="F20" s="86">
        <v>-155.2</v>
      </c>
      <c r="G20" s="85">
        <v>-609.73</v>
      </c>
      <c r="H20" s="48">
        <f t="shared" si="1"/>
        <v>208.6005281026028</v>
      </c>
      <c r="I20" s="82">
        <f>D20-Март!D20</f>
        <v>-348.1845300000001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48787.01875</v>
      </c>
      <c r="D21" s="87">
        <f>SUM(D22:D25)</f>
        <v>46749.100000000006</v>
      </c>
      <c r="E21" s="86">
        <f t="shared" si="0"/>
        <v>34.83111241911389</v>
      </c>
      <c r="F21" s="86">
        <v>7362.96</v>
      </c>
      <c r="G21" s="30">
        <f>G22+G24+G25+G23</f>
        <v>49915.03</v>
      </c>
      <c r="H21" s="86">
        <f t="shared" si="1"/>
        <v>93.65736131982693</v>
      </c>
      <c r="I21" s="30">
        <f>D21-Март!D21</f>
        <v>22061.254070000003</v>
      </c>
    </row>
    <row r="22" spans="1:9" ht="28.5" customHeight="1">
      <c r="A22" s="56" t="s">
        <v>146</v>
      </c>
      <c r="B22" s="85">
        <v>110640.7</v>
      </c>
      <c r="C22" s="85">
        <v>38600</v>
      </c>
      <c r="D22" s="85">
        <v>35948.5</v>
      </c>
      <c r="E22" s="86">
        <f t="shared" si="0"/>
        <v>32.491208027425714</v>
      </c>
      <c r="F22" s="86"/>
      <c r="G22" s="85">
        <v>34595.28</v>
      </c>
      <c r="H22" s="48">
        <f t="shared" si="1"/>
        <v>103.91157406443885</v>
      </c>
      <c r="I22" s="82">
        <f>D22-Март!D22</f>
        <v>19515.17638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57.4</v>
      </c>
      <c r="E23" s="86">
        <v>0</v>
      </c>
      <c r="F23" s="86">
        <v>7198.75</v>
      </c>
      <c r="G23" s="85">
        <v>6885.09</v>
      </c>
      <c r="H23" s="48">
        <f t="shared" si="1"/>
        <v>0.8336855436893345</v>
      </c>
      <c r="I23" s="82">
        <f>D23-Март!D23</f>
        <v>-10.089419999999997</v>
      </c>
    </row>
    <row r="24" spans="1:9" ht="15" customHeight="1">
      <c r="A24" s="56" t="s">
        <v>87</v>
      </c>
      <c r="B24" s="82">
        <f>1245000/1000</f>
        <v>1245</v>
      </c>
      <c r="C24" s="82">
        <f>270118.75/1000</f>
        <v>270.11875</v>
      </c>
      <c r="D24" s="82">
        <v>536.8</v>
      </c>
      <c r="E24" s="86">
        <f aca="true" t="shared" si="2" ref="E24:E47">$D:$D/$B:$B*100</f>
        <v>43.11646586345381</v>
      </c>
      <c r="F24" s="86">
        <v>113.58</v>
      </c>
      <c r="G24" s="85">
        <v>795.04</v>
      </c>
      <c r="H24" s="48">
        <f t="shared" si="1"/>
        <v>67.51861541557658</v>
      </c>
      <c r="I24" s="82">
        <f>D24-Март!D24</f>
        <v>266.68125</v>
      </c>
    </row>
    <row r="25" spans="1:9" ht="27" customHeight="1">
      <c r="A25" s="56" t="s">
        <v>88</v>
      </c>
      <c r="B25" s="85">
        <f>22330800/1000</f>
        <v>22330.8</v>
      </c>
      <c r="C25" s="85">
        <v>9916.9</v>
      </c>
      <c r="D25" s="85">
        <v>10206.4</v>
      </c>
      <c r="E25" s="86">
        <f t="shared" si="2"/>
        <v>45.705483010013076</v>
      </c>
      <c r="F25" s="86">
        <v>50.63</v>
      </c>
      <c r="G25" s="85">
        <v>7639.619999999999</v>
      </c>
      <c r="H25" s="48">
        <f t="shared" si="1"/>
        <v>133.5982679766795</v>
      </c>
      <c r="I25" s="82">
        <f>D25-Март!D25</f>
        <v>2289.48586</v>
      </c>
    </row>
    <row r="26" spans="1:9" ht="12.75">
      <c r="A26" s="59" t="s">
        <v>8</v>
      </c>
      <c r="B26" s="87">
        <f>SUM(B27:B28)</f>
        <v>42549</v>
      </c>
      <c r="C26" s="87">
        <f>SUM(C27:C28)</f>
        <v>7058.2</v>
      </c>
      <c r="D26" s="87">
        <f>SUM(D27:D28)</f>
        <v>6167.3</v>
      </c>
      <c r="E26" s="86">
        <f t="shared" si="2"/>
        <v>14.494582716397566</v>
      </c>
      <c r="F26" s="86">
        <v>2465.82</v>
      </c>
      <c r="G26" s="30">
        <f>SUM(G27:G28)</f>
        <v>5961.199999999999</v>
      </c>
      <c r="H26" s="86">
        <f t="shared" si="1"/>
        <v>103.45735757901096</v>
      </c>
      <c r="I26" s="30">
        <f>D26-Март!D26</f>
        <v>1295.70125</v>
      </c>
    </row>
    <row r="27" spans="1:9" ht="12.75">
      <c r="A27" s="56" t="s">
        <v>106</v>
      </c>
      <c r="B27" s="82">
        <v>25216.9</v>
      </c>
      <c r="C27" s="82">
        <v>2409</v>
      </c>
      <c r="D27" s="82">
        <v>2496.5</v>
      </c>
      <c r="E27" s="86">
        <f t="shared" si="2"/>
        <v>9.900106674492106</v>
      </c>
      <c r="F27" s="86">
        <v>536.1</v>
      </c>
      <c r="G27" s="85">
        <v>1769.7199999999998</v>
      </c>
      <c r="H27" s="48">
        <f t="shared" si="1"/>
        <v>141.06751350496125</v>
      </c>
      <c r="I27" s="82">
        <f>D27-Март!D27</f>
        <v>487.52686000000017</v>
      </c>
    </row>
    <row r="28" spans="1:9" ht="12.75">
      <c r="A28" s="56" t="s">
        <v>107</v>
      </c>
      <c r="B28" s="85">
        <f>17332100/1000</f>
        <v>17332.1</v>
      </c>
      <c r="C28" s="85">
        <v>4649.2</v>
      </c>
      <c r="D28" s="85">
        <v>3670.8</v>
      </c>
      <c r="E28" s="86">
        <f t="shared" si="2"/>
        <v>21.179199289180197</v>
      </c>
      <c r="F28" s="86">
        <v>1929.72</v>
      </c>
      <c r="G28" s="85">
        <v>4191.48</v>
      </c>
      <c r="H28" s="48">
        <f t="shared" si="1"/>
        <v>87.5776575338544</v>
      </c>
      <c r="I28" s="82">
        <f>D28-Март!D28</f>
        <v>808.1743900000001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5232.4</v>
      </c>
      <c r="D29" s="87">
        <f>SUM(D30:D32)</f>
        <v>5111.099999999999</v>
      </c>
      <c r="E29" s="86">
        <f t="shared" si="2"/>
        <v>31.73512154233026</v>
      </c>
      <c r="F29" s="86">
        <v>793.07</v>
      </c>
      <c r="G29" s="30">
        <f>G30+G31+G32</f>
        <v>4918.91</v>
      </c>
      <c r="H29" s="86">
        <f t="shared" si="1"/>
        <v>103.90716642508198</v>
      </c>
      <c r="I29" s="30">
        <f>D29-Март!D29</f>
        <v>1422.2170299999993</v>
      </c>
    </row>
    <row r="30" spans="1:9" ht="25.5">
      <c r="A30" s="56" t="s">
        <v>10</v>
      </c>
      <c r="B30" s="85">
        <f>15988300/1000</f>
        <v>15988.3</v>
      </c>
      <c r="C30" s="85">
        <v>5200</v>
      </c>
      <c r="D30" s="85">
        <v>5061.9</v>
      </c>
      <c r="E30" s="86">
        <f t="shared" si="2"/>
        <v>31.660026394300832</v>
      </c>
      <c r="F30" s="86">
        <v>793.07</v>
      </c>
      <c r="G30" s="85">
        <v>4872.71</v>
      </c>
      <c r="H30" s="48">
        <f t="shared" si="1"/>
        <v>103.88264436011994</v>
      </c>
      <c r="I30" s="82">
        <f>D30-Март!D30</f>
        <v>1414.2170299999993</v>
      </c>
    </row>
    <row r="31" spans="1:9" ht="25.5">
      <c r="A31" s="56" t="s">
        <v>91</v>
      </c>
      <c r="B31" s="81">
        <f>67200/1000</f>
        <v>67.2</v>
      </c>
      <c r="C31" s="81">
        <v>22.4</v>
      </c>
      <c r="D31" s="81">
        <v>19.2</v>
      </c>
      <c r="E31" s="86">
        <f t="shared" si="2"/>
        <v>28.57142857142857</v>
      </c>
      <c r="F31" s="86">
        <v>0</v>
      </c>
      <c r="G31" s="85">
        <v>11.2</v>
      </c>
      <c r="H31" s="48">
        <f t="shared" si="1"/>
        <v>171.42857142857144</v>
      </c>
      <c r="I31" s="82">
        <f>D31-Март!D31</f>
        <v>-10.8</v>
      </c>
    </row>
    <row r="32" spans="1:9" ht="25.5">
      <c r="A32" s="56" t="s">
        <v>90</v>
      </c>
      <c r="B32" s="81">
        <f>50000/1000</f>
        <v>50</v>
      </c>
      <c r="C32" s="81">
        <v>10</v>
      </c>
      <c r="D32" s="81">
        <v>30</v>
      </c>
      <c r="E32" s="86">
        <f t="shared" si="2"/>
        <v>60</v>
      </c>
      <c r="F32" s="86">
        <v>0</v>
      </c>
      <c r="G32" s="85">
        <v>35</v>
      </c>
      <c r="H32" s="48">
        <f t="shared" si="1"/>
        <v>85.71428571428571</v>
      </c>
      <c r="I32" s="82">
        <f>D32-Март!D32</f>
        <v>18.8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 t="shared" si="2"/>
        <v>#DIV/0!</v>
      </c>
      <c r="F33" s="86">
        <v>0</v>
      </c>
      <c r="G33" s="30">
        <f>G34+G35</f>
        <v>0.04</v>
      </c>
      <c r="H33" s="48">
        <f t="shared" si="1"/>
        <v>50</v>
      </c>
      <c r="I33" s="30">
        <f>D33-Март!D33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 t="shared" si="2"/>
        <v>#DIV/0!</v>
      </c>
      <c r="F34" s="86">
        <v>0</v>
      </c>
      <c r="G34" s="85">
        <v>0.04</v>
      </c>
      <c r="H34" s="48">
        <f t="shared" si="1"/>
        <v>50</v>
      </c>
      <c r="I34" s="30">
        <f>D34-Март!D34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 t="shared" si="2"/>
        <v>#DIV/0!</v>
      </c>
      <c r="F35" s="86">
        <v>0</v>
      </c>
      <c r="G35" s="85">
        <v>0</v>
      </c>
      <c r="H35" s="48" t="e">
        <f t="shared" si="1"/>
        <v>#DIV/0!</v>
      </c>
      <c r="I35" s="30">
        <f>D35-Март!D35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20055.600000000002</v>
      </c>
      <c r="D36" s="87">
        <f>SUM(D38:D44)</f>
        <v>16357.699999999997</v>
      </c>
      <c r="E36" s="86">
        <f t="shared" si="2"/>
        <v>22.240126802862633</v>
      </c>
      <c r="F36" s="86">
        <v>3247.05</v>
      </c>
      <c r="G36" s="30">
        <f>G37+G39+G40+G41+G43+G44+G38+G42</f>
        <v>18026.09</v>
      </c>
      <c r="H36" s="86">
        <f t="shared" si="1"/>
        <v>90.74458188104019</v>
      </c>
      <c r="I36" s="30">
        <f>D36-Март!D36</f>
        <v>5503.936059999996</v>
      </c>
    </row>
    <row r="37" spans="1:9" ht="81.75" customHeight="1" hidden="1">
      <c r="A37" s="56" t="s">
        <v>114</v>
      </c>
      <c r="B37" s="85"/>
      <c r="C37" s="85"/>
      <c r="D37" s="85"/>
      <c r="E37" s="86" t="e">
        <f t="shared" si="2"/>
        <v>#DIV/0!</v>
      </c>
      <c r="F37" s="86"/>
      <c r="G37" s="85"/>
      <c r="H37" s="48" t="e">
        <f t="shared" si="1"/>
        <v>#DIV/0!</v>
      </c>
      <c r="I37" s="30">
        <f>D37-Март!D37</f>
        <v>0</v>
      </c>
    </row>
    <row r="38" spans="1:9" ht="76.5">
      <c r="A38" s="56" t="s">
        <v>117</v>
      </c>
      <c r="B38" s="85">
        <v>37670.9</v>
      </c>
      <c r="C38" s="85">
        <v>10500</v>
      </c>
      <c r="D38" s="85">
        <v>9989.9</v>
      </c>
      <c r="E38" s="86">
        <f t="shared" si="2"/>
        <v>26.518877966812575</v>
      </c>
      <c r="F38" s="86">
        <v>2393.3</v>
      </c>
      <c r="G38" s="85">
        <v>10058.51</v>
      </c>
      <c r="H38" s="48">
        <f t="shared" si="1"/>
        <v>99.31789101964405</v>
      </c>
      <c r="I38" s="82">
        <f>D38-Март!D38</f>
        <v>3747.9958099999994</v>
      </c>
    </row>
    <row r="39" spans="1:9" ht="76.5">
      <c r="A39" s="56" t="s">
        <v>125</v>
      </c>
      <c r="B39" s="82">
        <v>7265</v>
      </c>
      <c r="C39" s="82">
        <v>1082.2</v>
      </c>
      <c r="D39" s="82">
        <v>926.9</v>
      </c>
      <c r="E39" s="86">
        <f t="shared" si="2"/>
        <v>12.758430832759807</v>
      </c>
      <c r="F39" s="86">
        <v>75.44</v>
      </c>
      <c r="G39" s="85">
        <v>250.31</v>
      </c>
      <c r="H39" s="48">
        <f t="shared" si="1"/>
        <v>370.3008269745515</v>
      </c>
      <c r="I39" s="82">
        <f>D39-Март!D39</f>
        <v>243.8414499999999</v>
      </c>
    </row>
    <row r="40" spans="1:9" ht="76.5">
      <c r="A40" s="56" t="s">
        <v>118</v>
      </c>
      <c r="B40" s="82">
        <v>428</v>
      </c>
      <c r="C40" s="82">
        <v>139.2</v>
      </c>
      <c r="D40" s="82">
        <v>70.9</v>
      </c>
      <c r="E40" s="86">
        <f t="shared" si="2"/>
        <v>16.565420560747665</v>
      </c>
      <c r="F40" s="86">
        <v>3.43</v>
      </c>
      <c r="G40" s="85">
        <v>147.79000000000002</v>
      </c>
      <c r="H40" s="48">
        <f t="shared" si="1"/>
        <v>47.97347587793491</v>
      </c>
      <c r="I40" s="82">
        <f>D40-Март!D40</f>
        <v>29.960960000000007</v>
      </c>
    </row>
    <row r="41" spans="1:9" ht="38.25">
      <c r="A41" s="56" t="s">
        <v>119</v>
      </c>
      <c r="B41" s="82">
        <v>21306.5</v>
      </c>
      <c r="C41" s="82">
        <v>4283.8</v>
      </c>
      <c r="D41" s="82">
        <v>4400.2</v>
      </c>
      <c r="E41" s="86">
        <f t="shared" si="2"/>
        <v>20.651913735245113</v>
      </c>
      <c r="F41" s="86">
        <v>538.73</v>
      </c>
      <c r="G41" s="85">
        <v>4374.6</v>
      </c>
      <c r="H41" s="48">
        <f t="shared" si="1"/>
        <v>100.58519636081012</v>
      </c>
      <c r="I41" s="82">
        <f>D41-Март!D41</f>
        <v>1144.1799999999998</v>
      </c>
    </row>
    <row r="42" spans="1:9" ht="51">
      <c r="A42" s="56" t="s">
        <v>147</v>
      </c>
      <c r="B42" s="82">
        <v>64.2</v>
      </c>
      <c r="C42" s="82">
        <v>21.4</v>
      </c>
      <c r="D42" s="82">
        <v>0</v>
      </c>
      <c r="E42" s="86">
        <f t="shared" si="2"/>
        <v>0</v>
      </c>
      <c r="F42" s="86"/>
      <c r="G42" s="85">
        <v>13.89</v>
      </c>
      <c r="H42" s="48">
        <f t="shared" si="1"/>
        <v>0</v>
      </c>
      <c r="I42" s="82">
        <f>D42-Март!D42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105.5</v>
      </c>
      <c r="E43" s="86">
        <f t="shared" si="2"/>
        <v>3.856557976312326</v>
      </c>
      <c r="F43" s="86">
        <v>0</v>
      </c>
      <c r="G43" s="85">
        <v>1641.63</v>
      </c>
      <c r="H43" s="48">
        <f t="shared" si="1"/>
        <v>6.426539476008601</v>
      </c>
      <c r="I43" s="82">
        <f>D43-Март!D43</f>
        <v>0.007999999999995566</v>
      </c>
    </row>
    <row r="44" spans="1:9" ht="76.5">
      <c r="A44" s="60" t="s">
        <v>121</v>
      </c>
      <c r="B44" s="82">
        <v>4080.19</v>
      </c>
      <c r="C44" s="82">
        <v>1293.4</v>
      </c>
      <c r="D44" s="82">
        <v>864.3</v>
      </c>
      <c r="E44" s="86">
        <f t="shared" si="2"/>
        <v>21.18283707376372</v>
      </c>
      <c r="F44" s="86">
        <v>236.15</v>
      </c>
      <c r="G44" s="85">
        <v>1539.3600000000001</v>
      </c>
      <c r="H44" s="48">
        <f t="shared" si="1"/>
        <v>56.146710321172435</v>
      </c>
      <c r="I44" s="82">
        <f>D44-Март!D44</f>
        <v>337.9498399999999</v>
      </c>
    </row>
    <row r="45" spans="1:9" ht="27" customHeight="1">
      <c r="A45" s="53" t="s">
        <v>13</v>
      </c>
      <c r="B45" s="85">
        <v>766.9</v>
      </c>
      <c r="C45" s="85">
        <v>405.6</v>
      </c>
      <c r="D45" s="85">
        <v>382.5</v>
      </c>
      <c r="E45" s="86">
        <f t="shared" si="2"/>
        <v>49.87612465771287</v>
      </c>
      <c r="F45" s="86">
        <v>43.6</v>
      </c>
      <c r="G45" s="87">
        <v>356.91</v>
      </c>
      <c r="H45" s="86">
        <f t="shared" si="1"/>
        <v>107.16987475834243</v>
      </c>
      <c r="I45" s="30">
        <f>D45-Март!D45</f>
        <v>90.46201000000002</v>
      </c>
    </row>
    <row r="46" spans="1:9" ht="25.5">
      <c r="A46" s="53" t="s">
        <v>96</v>
      </c>
      <c r="B46" s="85">
        <v>1297.6</v>
      </c>
      <c r="C46" s="85">
        <v>185.5</v>
      </c>
      <c r="D46" s="85">
        <v>432.6</v>
      </c>
      <c r="E46" s="86">
        <f t="shared" si="2"/>
        <v>33.33847102342787</v>
      </c>
      <c r="F46" s="86">
        <v>561.58</v>
      </c>
      <c r="G46" s="87">
        <v>512.06</v>
      </c>
      <c r="H46" s="86">
        <f t="shared" si="1"/>
        <v>84.48228723196502</v>
      </c>
      <c r="I46" s="30">
        <f>D46-Март!D46</f>
        <v>243.85736</v>
      </c>
    </row>
    <row r="47" spans="1:9" ht="25.5">
      <c r="A47" s="59" t="s">
        <v>14</v>
      </c>
      <c r="B47" s="87">
        <f>SUM(B48:B50)</f>
        <v>3900</v>
      </c>
      <c r="C47" s="87">
        <f>SUM(C48:C50)</f>
        <v>1063.6</v>
      </c>
      <c r="D47" s="87">
        <f>SUM(D48:D50)</f>
        <v>696.6</v>
      </c>
      <c r="E47" s="86">
        <f t="shared" si="2"/>
        <v>17.861538461538462</v>
      </c>
      <c r="F47" s="86">
        <v>585.5</v>
      </c>
      <c r="G47" s="30">
        <f>G48+G49+G50</f>
        <v>-58.370000000000005</v>
      </c>
      <c r="H47" s="86">
        <f t="shared" si="1"/>
        <v>-1193.4212780537948</v>
      </c>
      <c r="I47" s="30">
        <f>D47-Март!D47</f>
        <v>62.50976000000003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 t="shared" si="1"/>
        <v>0</v>
      </c>
      <c r="I48" s="82">
        <f>D48-Март!D48</f>
        <v>0</v>
      </c>
    </row>
    <row r="49" spans="1:9" ht="76.5">
      <c r="A49" s="56" t="s">
        <v>95</v>
      </c>
      <c r="B49" s="85">
        <v>0</v>
      </c>
      <c r="C49" s="85">
        <v>0</v>
      </c>
      <c r="D49" s="85">
        <v>0</v>
      </c>
      <c r="E49" s="86">
        <v>0</v>
      </c>
      <c r="F49" s="86">
        <v>37.14</v>
      </c>
      <c r="G49" s="85">
        <v>0</v>
      </c>
      <c r="H49" s="48">
        <v>0</v>
      </c>
      <c r="I49" s="82">
        <f>D49-Март!D49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1063.6</v>
      </c>
      <c r="D50" s="83">
        <v>696.6</v>
      </c>
      <c r="E50" s="86">
        <f aca="true" t="shared" si="3" ref="E50:E72">$D:$D/$B:$B*100</f>
        <v>17.861538461538462</v>
      </c>
      <c r="F50" s="86">
        <v>548.36</v>
      </c>
      <c r="G50" s="85">
        <v>-111.06</v>
      </c>
      <c r="H50" s="48">
        <f aca="true" t="shared" si="4" ref="H50:H69">$D:$D/$G:$G*100</f>
        <v>-627.228525121556</v>
      </c>
      <c r="I50" s="82">
        <f>D50-Март!D50</f>
        <v>62.50976000000003</v>
      </c>
    </row>
    <row r="51" spans="1:9" ht="12.75">
      <c r="A51" s="53" t="s">
        <v>15</v>
      </c>
      <c r="B51" s="85">
        <v>5212.7</v>
      </c>
      <c r="C51" s="85">
        <v>668.8</v>
      </c>
      <c r="D51" s="85">
        <v>1113.9</v>
      </c>
      <c r="E51" s="86">
        <f t="shared" si="3"/>
        <v>21.368964260364113</v>
      </c>
      <c r="F51" s="86">
        <v>179.73</v>
      </c>
      <c r="G51" s="30">
        <v>5259.83</v>
      </c>
      <c r="H51" s="86">
        <f t="shared" si="4"/>
        <v>21.17749052726039</v>
      </c>
      <c r="I51" s="30">
        <f>D51-Март!D51</f>
        <v>486.90646000000004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 t="shared" si="3"/>
        <v>0</v>
      </c>
      <c r="F52" s="86"/>
      <c r="G52" s="85"/>
      <c r="H52" s="48" t="e">
        <f t="shared" si="4"/>
        <v>#DIV/0!</v>
      </c>
      <c r="I52" s="30">
        <f>D52-Март!D52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 t="shared" si="3"/>
        <v>0</v>
      </c>
      <c r="F53" s="86"/>
      <c r="G53" s="85"/>
      <c r="H53" s="48" t="e">
        <f t="shared" si="4"/>
        <v>#DIV/0!</v>
      </c>
      <c r="I53" s="30">
        <f>D53-Март!D53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 t="shared" si="3"/>
        <v>0</v>
      </c>
      <c r="F54" s="86"/>
      <c r="G54" s="85"/>
      <c r="H54" s="48" t="e">
        <f t="shared" si="4"/>
        <v>#DIV/0!</v>
      </c>
      <c r="I54" s="30">
        <f>D54-Март!D54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 t="shared" si="3"/>
        <v>0</v>
      </c>
      <c r="F55" s="86"/>
      <c r="G55" s="85"/>
      <c r="H55" s="48" t="e">
        <f t="shared" si="4"/>
        <v>#DIV/0!</v>
      </c>
      <c r="I55" s="30">
        <f>D55-Март!D55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 t="shared" si="3"/>
        <v>0</v>
      </c>
      <c r="F56" s="86"/>
      <c r="G56" s="85"/>
      <c r="H56" s="48" t="e">
        <f t="shared" si="4"/>
        <v>#DIV/0!</v>
      </c>
      <c r="I56" s="30">
        <f>D56-Март!D56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 t="shared" si="3"/>
        <v>0</v>
      </c>
      <c r="F57" s="86"/>
      <c r="G57" s="85"/>
      <c r="H57" s="48" t="e">
        <f t="shared" si="4"/>
        <v>#DIV/0!</v>
      </c>
      <c r="I57" s="30">
        <f>D57-Март!D57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 t="shared" si="3"/>
        <v>0</v>
      </c>
      <c r="F58" s="86"/>
      <c r="G58" s="85"/>
      <c r="H58" s="48" t="e">
        <f t="shared" si="4"/>
        <v>#DIV/0!</v>
      </c>
      <c r="I58" s="30">
        <f>D58-Март!D58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 t="shared" si="3"/>
        <v>0</v>
      </c>
      <c r="F59" s="86"/>
      <c r="G59" s="85"/>
      <c r="H59" s="48" t="e">
        <f t="shared" si="4"/>
        <v>#DIV/0!</v>
      </c>
      <c r="I59" s="30">
        <f>D59-Март!D59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 t="shared" si="3"/>
        <v>0</v>
      </c>
      <c r="F60" s="86"/>
      <c r="G60" s="85"/>
      <c r="H60" s="48" t="e">
        <f t="shared" si="4"/>
        <v>#DIV/0!</v>
      </c>
      <c r="I60" s="30">
        <f>D60-Март!D60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 t="shared" si="3"/>
        <v>0</v>
      </c>
      <c r="F61" s="86"/>
      <c r="G61" s="85"/>
      <c r="H61" s="48" t="e">
        <f t="shared" si="4"/>
        <v>#DIV/0!</v>
      </c>
      <c r="I61" s="30">
        <f>D61-Март!D61</f>
        <v>0</v>
      </c>
    </row>
    <row r="62" spans="1:9" ht="12.75">
      <c r="A62" s="52" t="s">
        <v>16</v>
      </c>
      <c r="B62" s="81">
        <f>50000/1000</f>
        <v>50</v>
      </c>
      <c r="C62" s="81">
        <v>16.7</v>
      </c>
      <c r="D62" s="81">
        <v>0</v>
      </c>
      <c r="E62" s="86">
        <f t="shared" si="3"/>
        <v>0</v>
      </c>
      <c r="F62" s="86">
        <v>-38.79</v>
      </c>
      <c r="G62" s="87">
        <v>24.43</v>
      </c>
      <c r="H62" s="86">
        <f t="shared" si="4"/>
        <v>0</v>
      </c>
      <c r="I62" s="30">
        <f>D62-Март!D62</f>
        <v>-0.2</v>
      </c>
    </row>
    <row r="63" spans="1:9" ht="12.75">
      <c r="A63" s="59" t="s">
        <v>17</v>
      </c>
      <c r="B63" s="87">
        <f>B62+B51+B47+B46+B45+B36+B29+B26+B21+B16+B8</f>
        <v>714424.49</v>
      </c>
      <c r="C63" s="87">
        <f>C62+C51+C47+C46+C45+C36+C29+C26+C21+C16+C8</f>
        <v>236748.49875000003</v>
      </c>
      <c r="D63" s="87">
        <f>D62+D51+D47+D46+D45+D36+D29+D26+D21+D16+D8</f>
        <v>221241.60000000003</v>
      </c>
      <c r="E63" s="86">
        <f t="shared" si="3"/>
        <v>30.96780738857371</v>
      </c>
      <c r="F63" s="86">
        <v>27699.089999999997</v>
      </c>
      <c r="G63" s="30">
        <f>G8+G16+G21+G26+G29+G33+G36+G45+G46+G47+G62+G51</f>
        <v>180839.30000000002</v>
      </c>
      <c r="H63" s="86">
        <f t="shared" si="4"/>
        <v>122.34154854614015</v>
      </c>
      <c r="I63" s="30">
        <f>D63-Март!D63</f>
        <v>51009.100200000015</v>
      </c>
    </row>
    <row r="64" spans="1:9" ht="12.75">
      <c r="A64" s="59" t="s">
        <v>18</v>
      </c>
      <c r="B64" s="85">
        <f>B65+B70+B71</f>
        <v>3246177.3300000005</v>
      </c>
      <c r="C64" s="85">
        <f>C65+C70+C71</f>
        <v>515959.3999999999</v>
      </c>
      <c r="D64" s="85">
        <f>D65+D70+D71</f>
        <v>528832.2999999999</v>
      </c>
      <c r="E64" s="86">
        <f t="shared" si="3"/>
        <v>16.290924562645497</v>
      </c>
      <c r="F64" s="86">
        <v>43822.57000000001</v>
      </c>
      <c r="G64" s="30">
        <f>G65+G71+G70</f>
        <v>500358.72000000003</v>
      </c>
      <c r="H64" s="86">
        <f t="shared" si="4"/>
        <v>105.69063331203658</v>
      </c>
      <c r="I64" s="30">
        <f>D64-Март!D64</f>
        <v>228655.51172999997</v>
      </c>
    </row>
    <row r="65" spans="1:9" ht="25.5">
      <c r="A65" s="59" t="s">
        <v>19</v>
      </c>
      <c r="B65" s="85">
        <f>SUM(B66:B69)</f>
        <v>3259727.9000000004</v>
      </c>
      <c r="C65" s="85">
        <f>SUM(C66:C69)</f>
        <v>534332.2999999999</v>
      </c>
      <c r="D65" s="85">
        <f>SUM(D66:D69)</f>
        <v>547205.2</v>
      </c>
      <c r="E65" s="86">
        <f t="shared" si="3"/>
        <v>16.786836717260968</v>
      </c>
      <c r="F65" s="86">
        <v>46091.770000000004</v>
      </c>
      <c r="G65" s="30">
        <f>G66+G67+G69+G68</f>
        <v>503204.02</v>
      </c>
      <c r="H65" s="86">
        <f t="shared" si="4"/>
        <v>108.74420279869781</v>
      </c>
      <c r="I65" s="30">
        <f>D65-Март!D65</f>
        <v>228655.47966999997</v>
      </c>
    </row>
    <row r="66" spans="1:9" ht="12.75">
      <c r="A66" s="56" t="s">
        <v>108</v>
      </c>
      <c r="B66" s="85">
        <v>480567.2</v>
      </c>
      <c r="C66" s="85">
        <v>159055.8</v>
      </c>
      <c r="D66" s="85">
        <v>136055.8</v>
      </c>
      <c r="E66" s="86">
        <f t="shared" si="3"/>
        <v>28.311503573277573</v>
      </c>
      <c r="F66" s="86">
        <v>15902.8</v>
      </c>
      <c r="G66" s="85">
        <v>165833</v>
      </c>
      <c r="H66" s="48">
        <f t="shared" si="4"/>
        <v>82.04386340475055</v>
      </c>
      <c r="I66" s="82">
        <f>D66-Март!D66</f>
        <v>29694.499999999985</v>
      </c>
    </row>
    <row r="67" spans="1:9" ht="12.75" customHeight="1">
      <c r="A67" s="56" t="s">
        <v>109</v>
      </c>
      <c r="B67" s="85">
        <v>1621321.8</v>
      </c>
      <c r="C67" s="85">
        <v>80871.1</v>
      </c>
      <c r="D67" s="85">
        <v>101936.4</v>
      </c>
      <c r="E67" s="86">
        <f t="shared" si="3"/>
        <v>6.2872404478864095</v>
      </c>
      <c r="F67" s="86">
        <v>0</v>
      </c>
      <c r="G67" s="85">
        <v>34043.270000000004</v>
      </c>
      <c r="H67" s="48">
        <f t="shared" si="4"/>
        <v>299.4318700876854</v>
      </c>
      <c r="I67" s="82">
        <f>D67-Март!D67</f>
        <v>85728.90203</v>
      </c>
    </row>
    <row r="68" spans="1:9" ht="18.75" customHeight="1">
      <c r="A68" s="56" t="s">
        <v>110</v>
      </c>
      <c r="B68" s="85">
        <v>1109054.2</v>
      </c>
      <c r="C68" s="85">
        <v>282344.8</v>
      </c>
      <c r="D68" s="85">
        <v>297190</v>
      </c>
      <c r="E68" s="86">
        <f t="shared" si="3"/>
        <v>26.796706599190557</v>
      </c>
      <c r="F68" s="86">
        <v>30188.97</v>
      </c>
      <c r="G68" s="85">
        <v>287480.77</v>
      </c>
      <c r="H68" s="48">
        <f t="shared" si="4"/>
        <v>103.37734937888192</v>
      </c>
      <c r="I68" s="82">
        <f>D68-Март!D68</f>
        <v>109299.67763999998</v>
      </c>
    </row>
    <row r="69" spans="1:9" ht="12.75" customHeight="1">
      <c r="A69" s="2" t="s">
        <v>122</v>
      </c>
      <c r="B69" s="82">
        <v>48784.7</v>
      </c>
      <c r="C69" s="82">
        <v>12060.6</v>
      </c>
      <c r="D69" s="82">
        <v>12023</v>
      </c>
      <c r="E69" s="86">
        <f t="shared" si="3"/>
        <v>24.64502190235873</v>
      </c>
      <c r="F69" s="86">
        <v>0</v>
      </c>
      <c r="G69" s="85">
        <v>15846.98</v>
      </c>
      <c r="H69" s="48">
        <f t="shared" si="4"/>
        <v>75.86934545257203</v>
      </c>
      <c r="I69" s="82">
        <f>D69-Март!D69</f>
        <v>3932.3999999999996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 t="shared" si="3"/>
        <v>0</v>
      </c>
      <c r="F70" s="86">
        <v>0</v>
      </c>
      <c r="G70" s="85">
        <v>0</v>
      </c>
      <c r="H70" s="48">
        <v>0</v>
      </c>
      <c r="I70" s="82">
        <f>D70-Март!D70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 t="shared" si="3"/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D71-Март!D71</f>
        <v>0.03205999999772757</v>
      </c>
    </row>
    <row r="72" spans="1:9" ht="12.75">
      <c r="A72" s="52" t="s">
        <v>20</v>
      </c>
      <c r="B72" s="87">
        <f>B63+B64</f>
        <v>3960601.8200000003</v>
      </c>
      <c r="C72" s="87">
        <f>C63+C64</f>
        <v>752707.8987499999</v>
      </c>
      <c r="D72" s="87">
        <f>D63+D64</f>
        <v>750073.8999999999</v>
      </c>
      <c r="E72" s="86">
        <f t="shared" si="3"/>
        <v>18.938381945196394</v>
      </c>
      <c r="F72" s="86">
        <v>71521.66</v>
      </c>
      <c r="G72" s="30">
        <v>681198</v>
      </c>
      <c r="H72" s="86">
        <f>$D:$D/$G:$G*100</f>
        <v>110.11099562829014</v>
      </c>
      <c r="I72" s="30">
        <f>D72-Март!D72</f>
        <v>279664.6119299999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0">
        <f>B79+B80+B81+B82+B83+B84+B85+B86</f>
        <v>386261.9</v>
      </c>
      <c r="C78" s="30">
        <f>C79+C80+C81+C82+C83+C84+C85+C86</f>
        <v>42481.799999999996</v>
      </c>
      <c r="D78" s="30">
        <f>D79+D80+D81+D82+D83+D84+D85+D86</f>
        <v>41910.9</v>
      </c>
      <c r="E78" s="86">
        <f>$D:$D/$B:$B*100</f>
        <v>10.85038415644929</v>
      </c>
      <c r="F78" s="86">
        <f>$D:$D/$C:$C*100</f>
        <v>98.65613038995524</v>
      </c>
      <c r="G78" s="30">
        <f>G79+G80+G81+G82+G83+G84+G85+G86</f>
        <v>39807.1</v>
      </c>
      <c r="H78" s="86">
        <f aca="true" t="shared" si="5" ref="H78:H84">$D:$D/$G:$G*100</f>
        <v>105.2849868490797</v>
      </c>
      <c r="I78" s="30">
        <f>I79+I80+I81+I82+I83+I84+I85+I86</f>
        <v>41867.3</v>
      </c>
    </row>
    <row r="79" spans="1:9" ht="14.25" customHeight="1">
      <c r="A79" s="8" t="s">
        <v>24</v>
      </c>
      <c r="B79" s="82">
        <v>2984.6</v>
      </c>
      <c r="C79" s="71">
        <v>684</v>
      </c>
      <c r="D79" s="71">
        <v>684</v>
      </c>
      <c r="E79" s="48">
        <f>$D:$D/$B:$B*100</f>
        <v>22.917643905380956</v>
      </c>
      <c r="F79" s="48">
        <v>0</v>
      </c>
      <c r="G79" s="82">
        <v>818.1</v>
      </c>
      <c r="H79" s="48">
        <f t="shared" si="5"/>
        <v>83.6083608360836</v>
      </c>
      <c r="I79" s="82">
        <f>D79</f>
        <v>684</v>
      </c>
    </row>
    <row r="80" spans="1:9" ht="12.75">
      <c r="A80" s="8" t="s">
        <v>25</v>
      </c>
      <c r="B80" s="82">
        <v>6999</v>
      </c>
      <c r="C80" s="71">
        <v>2119.5</v>
      </c>
      <c r="D80" s="71">
        <v>2007.4</v>
      </c>
      <c r="E80" s="48">
        <f>$D:$D/$B:$B*100</f>
        <v>28.681240177168167</v>
      </c>
      <c r="F80" s="48">
        <f>$D:$D/$C:$C*100</f>
        <v>94.71101674923331</v>
      </c>
      <c r="G80" s="82">
        <v>1931.5</v>
      </c>
      <c r="H80" s="48">
        <f t="shared" si="5"/>
        <v>103.92958840279576</v>
      </c>
      <c r="I80" s="82">
        <f>D80</f>
        <v>2007.4</v>
      </c>
    </row>
    <row r="81" spans="1:9" ht="25.5">
      <c r="A81" s="8" t="s">
        <v>26</v>
      </c>
      <c r="B81" s="82">
        <v>65949</v>
      </c>
      <c r="C81" s="71">
        <v>18965.8</v>
      </c>
      <c r="D81" s="71">
        <v>18836.4</v>
      </c>
      <c r="E81" s="48">
        <f>$D:$D/$B:$B*100</f>
        <v>28.562070690988495</v>
      </c>
      <c r="F81" s="48">
        <f>$D:$D/$C:$C*100</f>
        <v>99.31771926309465</v>
      </c>
      <c r="G81" s="82">
        <v>18240.6</v>
      </c>
      <c r="H81" s="48">
        <f t="shared" si="5"/>
        <v>103.26633992302887</v>
      </c>
      <c r="I81" s="82">
        <f aca="true" t="shared" si="6" ref="I81:I125">D81</f>
        <v>18836.4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9">
        <v>28.4</v>
      </c>
      <c r="H82" s="48">
        <f t="shared" si="5"/>
        <v>598.5915492957747</v>
      </c>
      <c r="I82" s="82">
        <f>D83</f>
        <v>4585.8</v>
      </c>
    </row>
    <row r="83" spans="1:9" ht="25.5">
      <c r="A83" s="1" t="s">
        <v>27</v>
      </c>
      <c r="B83" s="85">
        <v>16457.8</v>
      </c>
      <c r="C83" s="71">
        <v>4688.4</v>
      </c>
      <c r="D83" s="71">
        <v>4585.8</v>
      </c>
      <c r="E83" s="48">
        <f>$D:$D/$B:$B*100</f>
        <v>27.863991542004403</v>
      </c>
      <c r="F83" s="48">
        <v>0</v>
      </c>
      <c r="G83" s="85">
        <v>4582.6</v>
      </c>
      <c r="H83" s="48">
        <f t="shared" si="5"/>
        <v>100.0698293545149</v>
      </c>
      <c r="I83" s="82">
        <f>D84</f>
        <v>0</v>
      </c>
    </row>
    <row r="84" spans="1:9" ht="12.75" hidden="1">
      <c r="A84" s="8" t="s">
        <v>28</v>
      </c>
      <c r="B84" s="82">
        <v>0</v>
      </c>
      <c r="C84" s="71">
        <v>0</v>
      </c>
      <c r="D84" s="71">
        <v>0</v>
      </c>
      <c r="E84" s="48">
        <v>0</v>
      </c>
      <c r="F84" s="48">
        <v>0</v>
      </c>
      <c r="G84" s="82">
        <v>0</v>
      </c>
      <c r="H84" s="48" t="e">
        <f t="shared" si="5"/>
        <v>#DIV/0!</v>
      </c>
      <c r="I84" s="82">
        <f>D85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D86</f>
        <v>15627.3</v>
      </c>
    </row>
    <row r="86" spans="1:9" ht="12.75">
      <c r="A86" s="1" t="s">
        <v>30</v>
      </c>
      <c r="B86" s="82">
        <v>291864</v>
      </c>
      <c r="C86" s="71">
        <v>15854.1</v>
      </c>
      <c r="D86" s="71">
        <v>15627.3</v>
      </c>
      <c r="E86" s="48">
        <f>$D:$D/$B:$B*100</f>
        <v>5.354308856179591</v>
      </c>
      <c r="F86" s="48">
        <f>$D:$D/$C:$C*100</f>
        <v>98.56945521978541</v>
      </c>
      <c r="G86" s="82">
        <v>14205.9</v>
      </c>
      <c r="H86" s="48">
        <f>$D:$D/$G:$G*100</f>
        <v>110.00570185627099</v>
      </c>
      <c r="I86" s="82">
        <f>D87</f>
        <v>126.4</v>
      </c>
    </row>
    <row r="87" spans="1:9" ht="12.75">
      <c r="A87" s="7" t="s">
        <v>31</v>
      </c>
      <c r="B87" s="87">
        <f>428600/1000</f>
        <v>428.6</v>
      </c>
      <c r="C87" s="71">
        <v>126.4</v>
      </c>
      <c r="D87" s="71">
        <v>126.4</v>
      </c>
      <c r="E87" s="86">
        <f>$D:$D/$B:$B*100</f>
        <v>29.491367242183852</v>
      </c>
      <c r="F87" s="86">
        <f>$D:$D/$C:$C*100</f>
        <v>100</v>
      </c>
      <c r="G87" s="30">
        <v>107</v>
      </c>
      <c r="H87" s="86">
        <f>$D:$D/$G:$G*100</f>
        <v>118.13084112149532</v>
      </c>
      <c r="I87" s="30">
        <f>D87</f>
        <v>126.4</v>
      </c>
    </row>
    <row r="88" spans="1:9" ht="25.5">
      <c r="A88" s="9" t="s">
        <v>32</v>
      </c>
      <c r="B88" s="87">
        <v>13498.9</v>
      </c>
      <c r="C88" s="71">
        <v>2134.5</v>
      </c>
      <c r="D88" s="71">
        <v>1569.3</v>
      </c>
      <c r="E88" s="86">
        <f>$D:$D/$B:$B*100</f>
        <v>11.625391698582847</v>
      </c>
      <c r="F88" s="86">
        <f>$D:$D/$C:$C*100</f>
        <v>73.52073085031623</v>
      </c>
      <c r="G88" s="87">
        <v>1626.6</v>
      </c>
      <c r="H88" s="86">
        <f>$D:$D/$G:$G*100</f>
        <v>96.47731464404279</v>
      </c>
      <c r="I88" s="30">
        <f t="shared" si="6"/>
        <v>1569.3</v>
      </c>
    </row>
    <row r="89" spans="1:9" ht="12.75">
      <c r="A89" s="7" t="s">
        <v>33</v>
      </c>
      <c r="B89" s="30">
        <f>B90+B91+B92+B93+B94</f>
        <v>591387</v>
      </c>
      <c r="C89" s="30">
        <f>C90+C91+C92+C93+C94</f>
        <v>20773.2</v>
      </c>
      <c r="D89" s="30">
        <f>D90+D91+D92+D93+D94</f>
        <v>20692.800000000003</v>
      </c>
      <c r="E89" s="86">
        <f>$D:$D/$B:$B*100</f>
        <v>3.499028554905671</v>
      </c>
      <c r="F89" s="86">
        <f>$D:$D/$C:$C*100</f>
        <v>99.61296285598753</v>
      </c>
      <c r="G89" s="30">
        <f>G90+G91+G92+G93+G94</f>
        <v>19568.9</v>
      </c>
      <c r="H89" s="86">
        <f>$D:$D/$G:$G*100</f>
        <v>105.74329676169842</v>
      </c>
      <c r="I89" s="30">
        <f t="shared" si="6"/>
        <v>20692.800000000003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 t="shared" si="6"/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 t="shared" si="6"/>
        <v>0</v>
      </c>
    </row>
    <row r="92" spans="1:9" ht="12.75">
      <c r="A92" s="8" t="s">
        <v>34</v>
      </c>
      <c r="B92" s="82">
        <v>27875.6</v>
      </c>
      <c r="C92" s="71">
        <v>6872.5</v>
      </c>
      <c r="D92" s="71">
        <v>6872.5</v>
      </c>
      <c r="E92" s="48">
        <f>$D:$D/$B:$B*100</f>
        <v>24.654177847292974</v>
      </c>
      <c r="F92" s="48">
        <v>0</v>
      </c>
      <c r="G92" s="82">
        <v>6436.7</v>
      </c>
      <c r="H92" s="48">
        <f>$D:$D/$G:$G*100</f>
        <v>106.77055012661766</v>
      </c>
      <c r="I92" s="82">
        <f t="shared" si="6"/>
        <v>6872.5</v>
      </c>
    </row>
    <row r="93" spans="1:9" ht="12.75">
      <c r="A93" s="10" t="s">
        <v>77</v>
      </c>
      <c r="B93" s="85">
        <v>524817</v>
      </c>
      <c r="C93" s="71">
        <v>10074.4</v>
      </c>
      <c r="D93" s="71">
        <v>9994.4</v>
      </c>
      <c r="E93" s="48">
        <f>$D:$D/$B:$B*100</f>
        <v>1.904359043247456</v>
      </c>
      <c r="F93" s="48">
        <f>$D:$D/$C:$C*100</f>
        <v>99.20590804415151</v>
      </c>
      <c r="G93" s="85">
        <v>9886.5</v>
      </c>
      <c r="H93" s="48">
        <f>$D:$D/$G:$G*100</f>
        <v>101.09138724523339</v>
      </c>
      <c r="I93" s="82">
        <f t="shared" si="6"/>
        <v>9994.4</v>
      </c>
    </row>
    <row r="94" spans="1:9" ht="12.75">
      <c r="A94" s="8" t="s">
        <v>35</v>
      </c>
      <c r="B94" s="82">
        <v>38624.7</v>
      </c>
      <c r="C94" s="71">
        <v>3826.3</v>
      </c>
      <c r="D94" s="71">
        <v>3825.9</v>
      </c>
      <c r="E94" s="48">
        <f>$D:$D/$B:$B*100</f>
        <v>9.90531965296818</v>
      </c>
      <c r="F94" s="48">
        <f>$D:$D/$C:$C*100</f>
        <v>99.98954603664114</v>
      </c>
      <c r="G94" s="82">
        <v>3245.7</v>
      </c>
      <c r="H94" s="48">
        <f>$D:$D/$G:$G*100</f>
        <v>117.87595896108698</v>
      </c>
      <c r="I94" s="82">
        <f t="shared" si="6"/>
        <v>3825.9</v>
      </c>
    </row>
    <row r="95" spans="1:9" ht="12.75">
      <c r="A95" s="7" t="s">
        <v>36</v>
      </c>
      <c r="B95" s="30">
        <f>B97+B98+B99+B96</f>
        <v>682499.6000000001</v>
      </c>
      <c r="C95" s="85">
        <f>C97+C98+C99+C96</f>
        <v>35492.7</v>
      </c>
      <c r="D95" s="30">
        <f>D97+D98+D99+D96</f>
        <v>18527.8</v>
      </c>
      <c r="E95" s="30">
        <f>E98+E99+E96</f>
        <v>9.077425115910888</v>
      </c>
      <c r="F95" s="86">
        <f>$D:$D/$C:$C*100</f>
        <v>52.201720353762894</v>
      </c>
      <c r="G95" s="30">
        <f>G97+G98+G99+G96</f>
        <v>26030.5</v>
      </c>
      <c r="H95" s="30">
        <f>H97+H98+H99</f>
        <v>423.40565287127976</v>
      </c>
      <c r="I95" s="30">
        <f t="shared" si="6"/>
        <v>18527.8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71">
        <v>7815.7</v>
      </c>
      <c r="H96" s="48">
        <f>$D:$D/$G:$G*100</f>
        <v>0</v>
      </c>
      <c r="I96" s="82">
        <f t="shared" si="6"/>
        <v>0</v>
      </c>
    </row>
    <row r="97" spans="1:9" ht="12.75">
      <c r="A97" s="8" t="s">
        <v>38</v>
      </c>
      <c r="B97" s="82">
        <v>49883.8</v>
      </c>
      <c r="C97" s="71">
        <v>457.5</v>
      </c>
      <c r="D97" s="71">
        <v>63.2</v>
      </c>
      <c r="E97" s="48">
        <f>$D:$D/$B:$B*100</f>
        <v>0.12669443787361828</v>
      </c>
      <c r="F97" s="48">
        <v>0</v>
      </c>
      <c r="G97" s="82">
        <v>29.1</v>
      </c>
      <c r="H97" s="48">
        <f>$D:$D/$G:$G*100</f>
        <v>217.18213058419244</v>
      </c>
      <c r="I97" s="82">
        <f t="shared" si="6"/>
        <v>63.2</v>
      </c>
    </row>
    <row r="98" spans="1:9" ht="12.75">
      <c r="A98" s="8" t="s">
        <v>39</v>
      </c>
      <c r="B98" s="82">
        <v>472521</v>
      </c>
      <c r="C98" s="71">
        <v>10625.2</v>
      </c>
      <c r="D98" s="71">
        <v>10115.8</v>
      </c>
      <c r="E98" s="48">
        <f>$D:$D/$B:$B*100</f>
        <v>2.140814905580916</v>
      </c>
      <c r="F98" s="48">
        <f>$D:$D/$C:$C*100</f>
        <v>95.20573730376839</v>
      </c>
      <c r="G98" s="82">
        <v>10725</v>
      </c>
      <c r="H98" s="48">
        <f>$D:$D/$G:$G*100</f>
        <v>94.31981351981351</v>
      </c>
      <c r="I98" s="82">
        <f t="shared" si="6"/>
        <v>10115.8</v>
      </c>
    </row>
    <row r="99" spans="1:9" ht="12.75">
      <c r="A99" s="8" t="s">
        <v>40</v>
      </c>
      <c r="B99" s="82">
        <v>120358.5</v>
      </c>
      <c r="C99" s="71">
        <v>24410</v>
      </c>
      <c r="D99" s="71">
        <v>8348.8</v>
      </c>
      <c r="E99" s="48">
        <f>$D:$D/$B:$B*100</f>
        <v>6.936610210329971</v>
      </c>
      <c r="F99" s="48">
        <f>$D:$D/$C:$C*100</f>
        <v>34.202376075378936</v>
      </c>
      <c r="G99" s="82">
        <v>7460.7</v>
      </c>
      <c r="H99" s="48">
        <f>$D:$D/$G:$G*100</f>
        <v>111.90370876727384</v>
      </c>
      <c r="I99" s="82">
        <f t="shared" si="6"/>
        <v>8348.8</v>
      </c>
    </row>
    <row r="100" spans="1:9" ht="12.75">
      <c r="A100" s="11" t="s">
        <v>115</v>
      </c>
      <c r="B100" s="30">
        <f>B101</f>
        <v>1950.5</v>
      </c>
      <c r="C100" s="30">
        <f>C101</f>
        <v>308.1</v>
      </c>
      <c r="D100" s="30">
        <f>D101</f>
        <v>308.1</v>
      </c>
      <c r="E100" s="86">
        <f>$D:$D/$B:$B*100</f>
        <v>15.7959497564727</v>
      </c>
      <c r="F100" s="86"/>
      <c r="G100" s="30">
        <f>G101</f>
        <v>136.6</v>
      </c>
      <c r="H100" s="30">
        <f>H101</f>
        <v>225.54904831625186</v>
      </c>
      <c r="I100" s="30">
        <f t="shared" si="6"/>
        <v>308.1</v>
      </c>
    </row>
    <row r="101" spans="1:9" ht="25.5">
      <c r="A101" s="41" t="s">
        <v>143</v>
      </c>
      <c r="B101" s="82">
        <f>1950500/1000</f>
        <v>1950.5</v>
      </c>
      <c r="C101" s="71">
        <v>308.1</v>
      </c>
      <c r="D101" s="71">
        <v>308.1</v>
      </c>
      <c r="E101" s="48">
        <f>$D:$D/$B:$B*100</f>
        <v>15.7959497564727</v>
      </c>
      <c r="F101" s="48"/>
      <c r="G101" s="82">
        <v>136.6</v>
      </c>
      <c r="H101" s="48">
        <f>$D:$D/$G:$G*100</f>
        <v>225.54904831625186</v>
      </c>
      <c r="I101" s="82">
        <f t="shared" si="6"/>
        <v>308.1</v>
      </c>
    </row>
    <row r="102" spans="1:9" ht="12.75">
      <c r="A102" s="11" t="s">
        <v>41</v>
      </c>
      <c r="B102" s="30">
        <f>B103+B104+B106+B107+B108+B105</f>
        <v>1650139.5</v>
      </c>
      <c r="C102" s="30">
        <f>C103+C104+C106+C107+C108+C105</f>
        <v>446920.60000000003</v>
      </c>
      <c r="D102" s="30">
        <f>D103+D104+D106+D107+D108+D105</f>
        <v>446811.4</v>
      </c>
      <c r="E102" s="30">
        <f>E103+E104+E107+E108+E106</f>
        <v>105.07424619573335</v>
      </c>
      <c r="F102" s="30">
        <f>F103+F104+F107+F108+F106</f>
        <v>499.7788507431347</v>
      </c>
      <c r="G102" s="30">
        <f>G103+G104+G105+G107+G108+G106</f>
        <v>429443.8</v>
      </c>
      <c r="H102" s="30">
        <f>H103+H104+H107+H108+H106</f>
        <v>475.09725874199285</v>
      </c>
      <c r="I102" s="30">
        <f t="shared" si="6"/>
        <v>446811.4</v>
      </c>
    </row>
    <row r="103" spans="1:9" ht="12.75">
      <c r="A103" s="8" t="s">
        <v>42</v>
      </c>
      <c r="B103" s="82">
        <v>612467.7</v>
      </c>
      <c r="C103" s="71">
        <v>176107.5</v>
      </c>
      <c r="D103" s="71">
        <v>176107.5</v>
      </c>
      <c r="E103" s="48">
        <f aca="true" t="shared" si="7" ref="E103:E121">$D:$D/$B:$B*100</f>
        <v>28.753761218754885</v>
      </c>
      <c r="F103" s="48">
        <f aca="true" t="shared" si="8" ref="F103:F111">$D:$D/$C:$C*100</f>
        <v>100</v>
      </c>
      <c r="G103" s="82">
        <v>167622.8</v>
      </c>
      <c r="H103" s="48">
        <f aca="true" t="shared" si="9" ref="H103:H111">$D:$D/$G:$G*100</f>
        <v>105.06178157148074</v>
      </c>
      <c r="I103" s="82">
        <f t="shared" si="6"/>
        <v>176107.5</v>
      </c>
    </row>
    <row r="104" spans="1:9" ht="12.75">
      <c r="A104" s="8" t="s">
        <v>43</v>
      </c>
      <c r="B104" s="82">
        <v>658617.2</v>
      </c>
      <c r="C104" s="71">
        <v>173334</v>
      </c>
      <c r="D104" s="71">
        <v>173333.1</v>
      </c>
      <c r="E104" s="48">
        <f t="shared" si="7"/>
        <v>26.317730542111565</v>
      </c>
      <c r="F104" s="48">
        <f t="shared" si="8"/>
        <v>99.99948077122781</v>
      </c>
      <c r="G104" s="82">
        <v>169610.7</v>
      </c>
      <c r="H104" s="48">
        <f t="shared" si="9"/>
        <v>102.19467285967217</v>
      </c>
      <c r="I104" s="82">
        <f t="shared" si="6"/>
        <v>173333.1</v>
      </c>
    </row>
    <row r="105" spans="1:9" ht="12.75">
      <c r="A105" s="22" t="s">
        <v>105</v>
      </c>
      <c r="B105" s="82">
        <v>145070.3</v>
      </c>
      <c r="C105" s="71">
        <v>40195.7</v>
      </c>
      <c r="D105" s="71">
        <v>40195.7</v>
      </c>
      <c r="E105" s="48">
        <f t="shared" si="7"/>
        <v>27.70773893760473</v>
      </c>
      <c r="F105" s="48">
        <f t="shared" si="8"/>
        <v>100</v>
      </c>
      <c r="G105" s="82">
        <v>39442.8</v>
      </c>
      <c r="H105" s="48">
        <f t="shared" si="9"/>
        <v>101.90884014319468</v>
      </c>
      <c r="I105" s="82">
        <f t="shared" si="6"/>
        <v>40195.7</v>
      </c>
    </row>
    <row r="106" spans="1:9" ht="25.5">
      <c r="A106" s="8" t="s">
        <v>123</v>
      </c>
      <c r="B106" s="82">
        <v>1674.8</v>
      </c>
      <c r="C106" s="71">
        <v>131.7</v>
      </c>
      <c r="D106" s="71">
        <v>131.7</v>
      </c>
      <c r="E106" s="48">
        <f t="shared" si="7"/>
        <v>7.863625507523286</v>
      </c>
      <c r="F106" s="48">
        <f t="shared" si="8"/>
        <v>100</v>
      </c>
      <c r="G106" s="82">
        <v>244.6</v>
      </c>
      <c r="H106" s="48">
        <f t="shared" si="9"/>
        <v>53.84300899427637</v>
      </c>
      <c r="I106" s="82">
        <f t="shared" si="6"/>
        <v>131.7</v>
      </c>
    </row>
    <row r="107" spans="1:9" ht="12.75">
      <c r="A107" s="8" t="s">
        <v>44</v>
      </c>
      <c r="B107" s="82">
        <v>56436.5</v>
      </c>
      <c r="C107" s="71">
        <v>8065</v>
      </c>
      <c r="D107" s="71">
        <v>8065</v>
      </c>
      <c r="E107" s="48">
        <f t="shared" si="7"/>
        <v>14.290397172042915</v>
      </c>
      <c r="F107" s="48">
        <f t="shared" si="8"/>
        <v>100</v>
      </c>
      <c r="G107" s="82">
        <v>7701.2</v>
      </c>
      <c r="H107" s="48">
        <f t="shared" si="9"/>
        <v>104.72393912636993</v>
      </c>
      <c r="I107" s="82">
        <f t="shared" si="6"/>
        <v>8065</v>
      </c>
    </row>
    <row r="108" spans="1:9" ht="12.75">
      <c r="A108" s="8" t="s">
        <v>45</v>
      </c>
      <c r="B108" s="82">
        <v>175873</v>
      </c>
      <c r="C108" s="71">
        <v>49086.7</v>
      </c>
      <c r="D108" s="71">
        <v>48978.4</v>
      </c>
      <c r="E108" s="48">
        <f t="shared" si="7"/>
        <v>27.848731755300697</v>
      </c>
      <c r="F108" s="48">
        <f t="shared" si="8"/>
        <v>99.77936997190686</v>
      </c>
      <c r="G108" s="85">
        <v>44821.7</v>
      </c>
      <c r="H108" s="48">
        <f t="shared" si="9"/>
        <v>109.27385619019361</v>
      </c>
      <c r="I108" s="82">
        <f t="shared" si="6"/>
        <v>48978.4</v>
      </c>
    </row>
    <row r="109" spans="1:9" ht="25.5">
      <c r="A109" s="11" t="s">
        <v>46</v>
      </c>
      <c r="B109" s="30">
        <f>B110+B111</f>
        <v>326713.3</v>
      </c>
      <c r="C109" s="30">
        <f>C110+C111</f>
        <v>42942.6</v>
      </c>
      <c r="D109" s="30">
        <f>D110+D111</f>
        <v>42754.899999999994</v>
      </c>
      <c r="E109" s="86">
        <f t="shared" si="7"/>
        <v>13.086366548285605</v>
      </c>
      <c r="F109" s="86">
        <f t="shared" si="8"/>
        <v>99.5629049009608</v>
      </c>
      <c r="G109" s="30">
        <f>G110+G111</f>
        <v>39158.799999999996</v>
      </c>
      <c r="H109" s="86">
        <f t="shared" si="9"/>
        <v>109.18337640581429</v>
      </c>
      <c r="I109" s="30">
        <f t="shared" si="6"/>
        <v>42754.899999999994</v>
      </c>
    </row>
    <row r="110" spans="1:9" ht="12.75">
      <c r="A110" s="8" t="s">
        <v>47</v>
      </c>
      <c r="B110" s="82">
        <v>241903</v>
      </c>
      <c r="C110" s="71">
        <v>41930.2</v>
      </c>
      <c r="D110" s="71">
        <v>41930.2</v>
      </c>
      <c r="E110" s="48">
        <f t="shared" si="7"/>
        <v>17.333476641463726</v>
      </c>
      <c r="F110" s="48">
        <f t="shared" si="8"/>
        <v>100</v>
      </c>
      <c r="G110" s="82">
        <v>38054.6</v>
      </c>
      <c r="H110" s="48">
        <f t="shared" si="9"/>
        <v>110.1843141170844</v>
      </c>
      <c r="I110" s="82">
        <f t="shared" si="6"/>
        <v>41930.2</v>
      </c>
    </row>
    <row r="111" spans="1:9" ht="25.5">
      <c r="A111" s="8" t="s">
        <v>48</v>
      </c>
      <c r="B111" s="82">
        <v>84810.3</v>
      </c>
      <c r="C111" s="71">
        <v>1012.4</v>
      </c>
      <c r="D111" s="71">
        <v>824.7</v>
      </c>
      <c r="E111" s="48">
        <f t="shared" si="7"/>
        <v>0.9724054743350748</v>
      </c>
      <c r="F111" s="48">
        <f t="shared" si="8"/>
        <v>81.45989727380483</v>
      </c>
      <c r="G111" s="82">
        <v>1104.2</v>
      </c>
      <c r="H111" s="48">
        <f t="shared" si="9"/>
        <v>74.68755660206484</v>
      </c>
      <c r="I111" s="82">
        <f t="shared" si="6"/>
        <v>824.7</v>
      </c>
    </row>
    <row r="112" spans="1:9" ht="12.75">
      <c r="A112" s="11" t="s">
        <v>97</v>
      </c>
      <c r="B112" s="30">
        <f>B113</f>
        <v>195.8</v>
      </c>
      <c r="C112" s="30">
        <f>C113</f>
        <v>0</v>
      </c>
      <c r="D112" s="30">
        <f>D113</f>
        <v>0</v>
      </c>
      <c r="E112" s="86">
        <f t="shared" si="7"/>
        <v>0</v>
      </c>
      <c r="F112" s="86">
        <v>0</v>
      </c>
      <c r="G112" s="30">
        <f>G113</f>
        <v>0</v>
      </c>
      <c r="H112" s="48">
        <v>0</v>
      </c>
      <c r="I112" s="82">
        <f t="shared" si="6"/>
        <v>0</v>
      </c>
    </row>
    <row r="113" spans="1:9" ht="12.75">
      <c r="A113" s="8" t="s">
        <v>98</v>
      </c>
      <c r="B113" s="82">
        <v>195.8</v>
      </c>
      <c r="C113" s="82">
        <v>0</v>
      </c>
      <c r="D113" s="82">
        <v>0</v>
      </c>
      <c r="E113" s="48">
        <f t="shared" si="7"/>
        <v>0</v>
      </c>
      <c r="F113" s="48">
        <v>0</v>
      </c>
      <c r="G113" s="82">
        <v>0</v>
      </c>
      <c r="H113" s="48">
        <v>0</v>
      </c>
      <c r="I113" s="82">
        <f t="shared" si="6"/>
        <v>0</v>
      </c>
    </row>
    <row r="114" spans="1:9" ht="12.75">
      <c r="A114" s="11" t="s">
        <v>49</v>
      </c>
      <c r="B114" s="30">
        <f>B115+B116+B117+B118+B119</f>
        <v>182216.65</v>
      </c>
      <c r="C114" s="30">
        <f>C115+C116+C117+C118+C119</f>
        <v>29512.5</v>
      </c>
      <c r="D114" s="30">
        <f>D115+D116+D117+D118+D119</f>
        <v>29512</v>
      </c>
      <c r="E114" s="86">
        <f t="shared" si="7"/>
        <v>16.196105021138298</v>
      </c>
      <c r="F114" s="86">
        <f>$D:$D/$C:$C*100</f>
        <v>99.998305802626</v>
      </c>
      <c r="G114" s="30">
        <f>G115+G116+G117+G118+G119</f>
        <v>14509.4</v>
      </c>
      <c r="H114" s="86">
        <f aca="true" t="shared" si="10" ref="H114:H123">$D:$D/$G:$G*100</f>
        <v>203.39917570678318</v>
      </c>
      <c r="I114" s="82">
        <f>D114</f>
        <v>29512</v>
      </c>
    </row>
    <row r="115" spans="1:9" ht="12.75">
      <c r="A115" s="8" t="s">
        <v>50</v>
      </c>
      <c r="B115" s="82">
        <f>2909750/1000</f>
        <v>2909.75</v>
      </c>
      <c r="C115" s="71">
        <v>647.2</v>
      </c>
      <c r="D115" s="71">
        <v>647.2</v>
      </c>
      <c r="E115" s="48">
        <f t="shared" si="7"/>
        <v>22.242460692499357</v>
      </c>
      <c r="F115" s="48">
        <v>0</v>
      </c>
      <c r="G115" s="82">
        <v>471.6</v>
      </c>
      <c r="H115" s="48">
        <f t="shared" si="10"/>
        <v>137.23494486853264</v>
      </c>
      <c r="I115" s="82">
        <f t="shared" si="6"/>
        <v>647.2</v>
      </c>
    </row>
    <row r="116" spans="1:9" ht="12.75" hidden="1">
      <c r="A116" s="8" t="s">
        <v>51</v>
      </c>
      <c r="B116" s="82">
        <v>0</v>
      </c>
      <c r="C116" s="71">
        <v>0</v>
      </c>
      <c r="D116" s="71">
        <v>0</v>
      </c>
      <c r="E116" s="48" t="e">
        <f t="shared" si="7"/>
        <v>#DIV/0!</v>
      </c>
      <c r="F116" s="48" t="e">
        <f>$D:$D/$C:$C*100</f>
        <v>#DIV/0!</v>
      </c>
      <c r="G116" s="82">
        <v>0</v>
      </c>
      <c r="H116" s="48" t="e">
        <f t="shared" si="10"/>
        <v>#DIV/0!</v>
      </c>
      <c r="I116" s="82">
        <f t="shared" si="6"/>
        <v>0</v>
      </c>
    </row>
    <row r="117" spans="1:9" ht="12.75">
      <c r="A117" s="8" t="s">
        <v>52</v>
      </c>
      <c r="B117" s="85">
        <v>90352</v>
      </c>
      <c r="C117" s="71">
        <v>25168.8</v>
      </c>
      <c r="D117" s="71">
        <v>25168.8</v>
      </c>
      <c r="E117" s="48">
        <f t="shared" si="7"/>
        <v>27.856383920665838</v>
      </c>
      <c r="F117" s="48">
        <v>0</v>
      </c>
      <c r="G117" s="82">
        <v>11872.5</v>
      </c>
      <c r="H117" s="48">
        <f t="shared" si="10"/>
        <v>211.9924194567277</v>
      </c>
      <c r="I117" s="82">
        <f t="shared" si="6"/>
        <v>25168.8</v>
      </c>
    </row>
    <row r="118" spans="1:9" ht="12.75">
      <c r="A118" s="8" t="s">
        <v>53</v>
      </c>
      <c r="B118" s="82">
        <v>86620.8</v>
      </c>
      <c r="C118" s="71">
        <v>3104</v>
      </c>
      <c r="D118" s="71">
        <v>3103.5</v>
      </c>
      <c r="E118" s="48">
        <f t="shared" si="7"/>
        <v>3.582857696996564</v>
      </c>
      <c r="F118" s="48">
        <f>$D:$D/$C:$C*100</f>
        <v>99.9838917525773</v>
      </c>
      <c r="G118" s="85">
        <v>1587.5</v>
      </c>
      <c r="H118" s="48">
        <f t="shared" si="10"/>
        <v>195.49606299212599</v>
      </c>
      <c r="I118" s="82">
        <f t="shared" si="6"/>
        <v>3103.5</v>
      </c>
    </row>
    <row r="119" spans="1:9" ht="12.75">
      <c r="A119" s="8" t="s">
        <v>54</v>
      </c>
      <c r="B119" s="82">
        <v>2334.1</v>
      </c>
      <c r="C119" s="71">
        <v>592.5</v>
      </c>
      <c r="D119" s="71">
        <v>592.5</v>
      </c>
      <c r="E119" s="48">
        <f t="shared" si="7"/>
        <v>25.384516516001888</v>
      </c>
      <c r="F119" s="48"/>
      <c r="G119" s="82">
        <v>577.8</v>
      </c>
      <c r="H119" s="48">
        <f t="shared" si="10"/>
        <v>102.54413291796469</v>
      </c>
      <c r="I119" s="82">
        <f t="shared" si="6"/>
        <v>592.5</v>
      </c>
    </row>
    <row r="120" spans="1:9" ht="12.75">
      <c r="A120" s="11" t="s">
        <v>61</v>
      </c>
      <c r="B120" s="87">
        <f>B121+B122+B123</f>
        <v>220491.59999999998</v>
      </c>
      <c r="C120" s="85">
        <f>C121+C122+C123</f>
        <v>85464.40000000001</v>
      </c>
      <c r="D120" s="85">
        <f>D121+D122+D123</f>
        <v>85432.3</v>
      </c>
      <c r="E120" s="86">
        <f t="shared" si="7"/>
        <v>38.74628330512365</v>
      </c>
      <c r="F120" s="86">
        <f>$D:$D/$C:$C*100</f>
        <v>99.96244050154216</v>
      </c>
      <c r="G120" s="87">
        <f>G121+G122+G123</f>
        <v>26490.9</v>
      </c>
      <c r="H120" s="86">
        <f t="shared" si="10"/>
        <v>322.4967819137893</v>
      </c>
      <c r="I120" s="82">
        <f t="shared" si="6"/>
        <v>85432.3</v>
      </c>
    </row>
    <row r="121" spans="1:9" ht="12.75">
      <c r="A121" s="41" t="s">
        <v>62</v>
      </c>
      <c r="B121" s="85">
        <v>100991.9</v>
      </c>
      <c r="C121" s="71">
        <v>23255.2</v>
      </c>
      <c r="D121" s="71">
        <v>23255.2</v>
      </c>
      <c r="E121" s="48">
        <f t="shared" si="7"/>
        <v>23.026797198587214</v>
      </c>
      <c r="F121" s="48">
        <f>$D:$D/$C:$C*100</f>
        <v>100</v>
      </c>
      <c r="G121" s="85">
        <v>23797</v>
      </c>
      <c r="H121" s="48">
        <f t="shared" si="10"/>
        <v>97.72324242551582</v>
      </c>
      <c r="I121" s="82">
        <f t="shared" si="6"/>
        <v>23255.2</v>
      </c>
    </row>
    <row r="122" spans="1:9" ht="24.75" customHeight="1">
      <c r="A122" s="12" t="s">
        <v>63</v>
      </c>
      <c r="B122" s="85">
        <v>115207.7</v>
      </c>
      <c r="C122" s="71">
        <v>60808.9</v>
      </c>
      <c r="D122" s="71">
        <v>60808.9</v>
      </c>
      <c r="E122" s="48">
        <v>0</v>
      </c>
      <c r="F122" s="48">
        <v>0</v>
      </c>
      <c r="G122" s="85">
        <v>1447</v>
      </c>
      <c r="H122" s="48">
        <f t="shared" si="10"/>
        <v>4202.411886662059</v>
      </c>
      <c r="I122" s="82">
        <f t="shared" si="6"/>
        <v>60808.9</v>
      </c>
    </row>
    <row r="123" spans="1:9" ht="25.5">
      <c r="A123" s="12" t="s">
        <v>73</v>
      </c>
      <c r="B123" s="85">
        <v>4292</v>
      </c>
      <c r="C123" s="71">
        <v>1400.3</v>
      </c>
      <c r="D123" s="71">
        <v>1368.2</v>
      </c>
      <c r="E123" s="48">
        <f>$D:$D/$B:$B*100</f>
        <v>31.877912395153775</v>
      </c>
      <c r="F123" s="48">
        <f>$D:$D/$C:$C*100</f>
        <v>97.70763407841177</v>
      </c>
      <c r="G123" s="85">
        <v>1246.9</v>
      </c>
      <c r="H123" s="48">
        <f t="shared" si="10"/>
        <v>109.72812575186461</v>
      </c>
      <c r="I123" s="82">
        <f t="shared" si="6"/>
        <v>1368.2</v>
      </c>
    </row>
    <row r="124" spans="1:9" ht="26.25" customHeight="1">
      <c r="A124" s="13" t="s">
        <v>80</v>
      </c>
      <c r="B124" s="87">
        <f>B125</f>
        <v>100</v>
      </c>
      <c r="C124" s="71">
        <v>2.01384</v>
      </c>
      <c r="D124" s="71">
        <v>2.01384</v>
      </c>
      <c r="E124" s="48">
        <f>$D:$D/$B:$B*100</f>
        <v>2.01384</v>
      </c>
      <c r="F124" s="48">
        <v>0</v>
      </c>
      <c r="G124" s="87">
        <f>G125</f>
        <v>0</v>
      </c>
      <c r="H124" s="48">
        <v>0</v>
      </c>
      <c r="I124" s="82">
        <f t="shared" si="6"/>
        <v>2.01384</v>
      </c>
    </row>
    <row r="125" spans="1:9" ht="13.5" customHeight="1">
      <c r="A125" s="12" t="s">
        <v>81</v>
      </c>
      <c r="B125" s="85">
        <v>100</v>
      </c>
      <c r="C125" s="82">
        <f>2013.84/1000</f>
        <v>2.01384</v>
      </c>
      <c r="D125" s="82">
        <f>2013.84/1000</f>
        <v>2.01384</v>
      </c>
      <c r="E125" s="48">
        <f>$D:$D/$B:$B*100</f>
        <v>2.01384</v>
      </c>
      <c r="F125" s="48">
        <v>0</v>
      </c>
      <c r="G125" s="85">
        <v>0</v>
      </c>
      <c r="H125" s="48">
        <v>0</v>
      </c>
      <c r="I125" s="82">
        <f t="shared" si="6"/>
        <v>2.01384</v>
      </c>
    </row>
    <row r="126" spans="1:9" ht="15.75" customHeight="1">
      <c r="A126" s="14" t="s">
        <v>55</v>
      </c>
      <c r="B126" s="30">
        <f>B78+B87+B88+B89+B95+B102+B109+B112+B114+B120+B124+B100</f>
        <v>4055883.3499999996</v>
      </c>
      <c r="C126" s="30">
        <f>C78+C87+C88+C89+C95+C102+C109+C112+C114+C120+C124+C100</f>
        <v>706158.8138400001</v>
      </c>
      <c r="D126" s="30">
        <f>D78+D87+D88+D89+D95+D102+D109+D112+D114+D120+D124+D100</f>
        <v>687647.9138400002</v>
      </c>
      <c r="E126" s="86">
        <f>$D:$D/$B:$B*100</f>
        <v>16.954331633822758</v>
      </c>
      <c r="F126" s="86">
        <f>$D:$D/$C:$C*100</f>
        <v>97.37864915976337</v>
      </c>
      <c r="G126" s="30">
        <f>G78+G87+G88+G89+G95+G102+G109+G112+G114+G120+G124+G100</f>
        <v>596879.6000000001</v>
      </c>
      <c r="H126" s="86">
        <f>$D:$D/$G:$G*100</f>
        <v>115.20713957052646</v>
      </c>
      <c r="I126" s="30">
        <f>I78+I87+I88+I89+I95+I102+I109+I112+I114+I120+I124</f>
        <v>687296.2138400001</v>
      </c>
    </row>
    <row r="127" spans="1:9" ht="26.25" customHeight="1">
      <c r="A127" s="15" t="s">
        <v>56</v>
      </c>
      <c r="B127" s="30">
        <f>B72-B126</f>
        <v>-95281.52999999933</v>
      </c>
      <c r="C127" s="30">
        <f>C72-C126</f>
        <v>46549.08490999986</v>
      </c>
      <c r="D127" s="30">
        <f>D72-D126</f>
        <v>62425.98615999974</v>
      </c>
      <c r="E127" s="30"/>
      <c r="F127" s="30"/>
      <c r="G127" s="30">
        <f>G76-G126</f>
        <v>-596879.6000000001</v>
      </c>
      <c r="H127" s="30"/>
      <c r="I127" s="30">
        <f>I72-I126</f>
        <v>-407631.6019100002</v>
      </c>
    </row>
    <row r="128" spans="1:9" ht="24" customHeight="1">
      <c r="A128" s="1" t="s">
        <v>57</v>
      </c>
      <c r="B128" s="85" t="s">
        <v>165</v>
      </c>
      <c r="C128" s="85"/>
      <c r="D128" s="85" t="s">
        <v>160</v>
      </c>
      <c r="E128" s="85"/>
      <c r="F128" s="85"/>
      <c r="G128" s="85" t="s">
        <v>162</v>
      </c>
      <c r="H128" s="87"/>
      <c r="I128" s="85"/>
    </row>
    <row r="129" spans="1:9" ht="12.75">
      <c r="A129" s="3" t="s">
        <v>58</v>
      </c>
      <c r="B129" s="88">
        <f>B131+B132</f>
        <v>42871.7</v>
      </c>
      <c r="C129" s="88"/>
      <c r="D129" s="88">
        <f>D131+D132</f>
        <v>93247.5</v>
      </c>
      <c r="E129" s="85"/>
      <c r="F129" s="85"/>
      <c r="G129" s="87">
        <f>G131+G132</f>
        <v>94182.5</v>
      </c>
      <c r="H129" s="85"/>
      <c r="I129" s="85">
        <f>D129</f>
        <v>93247.5</v>
      </c>
    </row>
    <row r="130" spans="1:9" ht="12" customHeight="1">
      <c r="A130" s="1" t="s">
        <v>6</v>
      </c>
      <c r="B130" s="89"/>
      <c r="C130" s="85"/>
      <c r="D130" s="85"/>
      <c r="E130" s="85"/>
      <c r="F130" s="85"/>
      <c r="G130" s="85"/>
      <c r="H130" s="85"/>
      <c r="I130" s="85"/>
    </row>
    <row r="131" spans="1:9" ht="12.75">
      <c r="A131" s="5" t="s">
        <v>59</v>
      </c>
      <c r="B131" s="89">
        <f>Март!B130</f>
        <v>24892.3</v>
      </c>
      <c r="C131" s="85"/>
      <c r="D131" s="85">
        <v>60071.5</v>
      </c>
      <c r="E131" s="85"/>
      <c r="F131" s="85"/>
      <c r="G131" s="85">
        <v>42668.3</v>
      </c>
      <c r="H131" s="85"/>
      <c r="I131" s="85">
        <f>D131</f>
        <v>60071.5</v>
      </c>
    </row>
    <row r="132" spans="1:9" ht="12.75">
      <c r="A132" s="1" t="s">
        <v>60</v>
      </c>
      <c r="B132" s="89">
        <f>Март!B131</f>
        <v>17979.4</v>
      </c>
      <c r="C132" s="85"/>
      <c r="D132" s="85">
        <f>93247.5-60071.5</f>
        <v>33176</v>
      </c>
      <c r="E132" s="85"/>
      <c r="F132" s="85"/>
      <c r="G132" s="85">
        <v>51514.2</v>
      </c>
      <c r="H132" s="85"/>
      <c r="I132" s="85">
        <f>D132</f>
        <v>33176</v>
      </c>
    </row>
    <row r="133" spans="1:9" ht="12.75">
      <c r="A133" s="3" t="s">
        <v>99</v>
      </c>
      <c r="B133" s="88">
        <f>B134-B135</f>
        <v>52410</v>
      </c>
      <c r="C133" s="90"/>
      <c r="D133" s="87">
        <v>-12050</v>
      </c>
      <c r="E133" s="90"/>
      <c r="F133" s="90"/>
      <c r="G133" s="90">
        <v>0</v>
      </c>
      <c r="H133" s="90"/>
      <c r="I133" s="90"/>
    </row>
    <row r="134" spans="1:9" ht="12.75">
      <c r="A134" s="2" t="s">
        <v>100</v>
      </c>
      <c r="B134" s="89">
        <f>Март!B133</f>
        <v>64460</v>
      </c>
      <c r="C134" s="91"/>
      <c r="D134" s="91" t="s">
        <v>149</v>
      </c>
      <c r="E134" s="91"/>
      <c r="F134" s="91"/>
      <c r="G134" s="91">
        <v>0</v>
      </c>
      <c r="H134" s="91"/>
      <c r="I134" s="91">
        <v>0</v>
      </c>
    </row>
    <row r="135" spans="1:9" ht="12.75">
      <c r="A135" s="2" t="s">
        <v>101</v>
      </c>
      <c r="B135" s="89">
        <f>Март!B134</f>
        <v>12050</v>
      </c>
      <c r="C135" s="91"/>
      <c r="D135" s="85">
        <v>12050</v>
      </c>
      <c r="E135" s="91"/>
      <c r="F135" s="91"/>
      <c r="G135" s="91">
        <v>0</v>
      </c>
      <c r="H135" s="91"/>
      <c r="I135" s="91">
        <v>0</v>
      </c>
    </row>
    <row r="136" spans="1:9" ht="12.75">
      <c r="A136" s="16"/>
      <c r="B136" s="25"/>
      <c r="C136" s="25"/>
      <c r="D136" s="25"/>
      <c r="E136" s="25"/>
      <c r="F136" s="25"/>
      <c r="G136" s="22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166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0">
        <f>B8+B16+B21+B26+B29+B36++B45+B46+B47+B51+B62</f>
        <v>722924.4899999999</v>
      </c>
      <c r="C7" s="30">
        <f>C8+C16+C21+C26+C29</f>
        <v>258531.88000000003</v>
      </c>
      <c r="D7" s="30">
        <f>D8+D16+D21+D26+D29+D36+D45+D46+D47+D51+D62</f>
        <v>270956.50000000006</v>
      </c>
      <c r="E7" s="86">
        <f aca="true" t="shared" si="0" ref="E7:E22">$D:$D/$B:$B*100</f>
        <v>37.48060879774596</v>
      </c>
      <c r="F7" s="86">
        <v>27699.089999999997</v>
      </c>
      <c r="G7" s="30">
        <f>G8+G16+G21+G26+G29+G33+G36+G45+G46+G47+G51+G62</f>
        <v>226811.84000000003</v>
      </c>
      <c r="H7" s="86">
        <f aca="true" t="shared" si="1" ref="H7:H48">$D:$D/$G:$G*100</f>
        <v>119.46311973836994</v>
      </c>
      <c r="I7" s="30">
        <f>D7-Апрель!D7</f>
        <v>49714.90000000005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157730.58000000002</v>
      </c>
      <c r="D8" s="86">
        <f>D9+D10-0.1</f>
        <v>147778.8</v>
      </c>
      <c r="E8" s="86">
        <f t="shared" si="0"/>
        <v>38.76796718888506</v>
      </c>
      <c r="F8" s="86">
        <v>10645.39</v>
      </c>
      <c r="G8" s="86">
        <f>G9+G10</f>
        <v>106693.28</v>
      </c>
      <c r="H8" s="86">
        <f t="shared" si="1"/>
        <v>138.5080672372243</v>
      </c>
      <c r="I8" s="30">
        <f>D8-Апрель!D8</f>
        <v>21547.899999999965</v>
      </c>
    </row>
    <row r="9" spans="1:9" ht="25.5">
      <c r="A9" s="53" t="s">
        <v>5</v>
      </c>
      <c r="B9" s="87">
        <v>8446.3</v>
      </c>
      <c r="C9" s="87">
        <v>3800</v>
      </c>
      <c r="D9" s="87">
        <v>1435.6</v>
      </c>
      <c r="E9" s="86">
        <f t="shared" si="0"/>
        <v>16.996791494500552</v>
      </c>
      <c r="F9" s="86">
        <v>200.86</v>
      </c>
      <c r="G9" s="85">
        <v>5238.389999999999</v>
      </c>
      <c r="H9" s="86">
        <f t="shared" si="1"/>
        <v>27.40536691617081</v>
      </c>
      <c r="I9" s="30">
        <f>D9-Апрель!D9</f>
        <v>-787.5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153930.58000000002</v>
      </c>
      <c r="D10" s="92">
        <f>SUM(D11:D15)</f>
        <v>146343.3</v>
      </c>
      <c r="E10" s="86">
        <f t="shared" si="0"/>
        <v>39.26132741824363</v>
      </c>
      <c r="F10" s="86">
        <v>10444.529999999999</v>
      </c>
      <c r="G10" s="92">
        <f>SUM(G11:G15)</f>
        <v>101454.89</v>
      </c>
      <c r="H10" s="86">
        <f t="shared" si="1"/>
        <v>144.24469830877544</v>
      </c>
      <c r="I10" s="30">
        <f>D10-Апрель!D10</f>
        <v>22335.49999999997</v>
      </c>
    </row>
    <row r="11" spans="1:9" ht="51">
      <c r="A11" s="56" t="s">
        <v>74</v>
      </c>
      <c r="B11" s="85">
        <v>313856.6</v>
      </c>
      <c r="C11" s="85">
        <v>104944.2</v>
      </c>
      <c r="D11" s="85">
        <v>93866.5</v>
      </c>
      <c r="E11" s="86">
        <f t="shared" si="0"/>
        <v>29.90744817856308</v>
      </c>
      <c r="F11" s="86">
        <v>10058</v>
      </c>
      <c r="G11" s="85">
        <v>98492.18</v>
      </c>
      <c r="H11" s="48">
        <f t="shared" si="1"/>
        <v>95.3035053138229</v>
      </c>
      <c r="I11" s="82">
        <f>D11-Апрель!D11</f>
        <v>19995.399999999994</v>
      </c>
    </row>
    <row r="12" spans="1:9" ht="94.5" customHeight="1">
      <c r="A12" s="56" t="s">
        <v>75</v>
      </c>
      <c r="B12" s="85">
        <v>6481.5</v>
      </c>
      <c r="C12" s="85">
        <v>984.1</v>
      </c>
      <c r="D12" s="85">
        <v>30.6</v>
      </c>
      <c r="E12" s="86">
        <f t="shared" si="0"/>
        <v>0.4721129368201805</v>
      </c>
      <c r="F12" s="86">
        <v>81.56</v>
      </c>
      <c r="G12" s="85">
        <v>969.1</v>
      </c>
      <c r="H12" s="48">
        <f t="shared" si="1"/>
        <v>3.157568878340729</v>
      </c>
      <c r="I12" s="82">
        <f>D12-Апрель!D12</f>
        <v>-837.3</v>
      </c>
    </row>
    <row r="13" spans="1:9" ht="25.5">
      <c r="A13" s="56" t="s">
        <v>76</v>
      </c>
      <c r="B13" s="85">
        <v>3576.4</v>
      </c>
      <c r="C13" s="85">
        <v>922</v>
      </c>
      <c r="D13" s="85">
        <v>1985.4</v>
      </c>
      <c r="E13" s="86">
        <f t="shared" si="0"/>
        <v>55.51392461693323</v>
      </c>
      <c r="F13" s="86">
        <v>117.15</v>
      </c>
      <c r="G13" s="85">
        <v>905.99</v>
      </c>
      <c r="H13" s="48">
        <f t="shared" si="1"/>
        <v>219.1414916279429</v>
      </c>
      <c r="I13" s="82">
        <f>D13-Апрель!D13</f>
        <v>474.8000000000002</v>
      </c>
    </row>
    <row r="14" spans="1:9" ht="63.75">
      <c r="A14" s="56" t="s">
        <v>78</v>
      </c>
      <c r="B14" s="85">
        <f>2580100/1000</f>
        <v>2580.1</v>
      </c>
      <c r="C14" s="85">
        <v>833.3</v>
      </c>
      <c r="D14" s="85">
        <v>1486.6</v>
      </c>
      <c r="E14" s="86">
        <f t="shared" si="0"/>
        <v>57.61792178597729</v>
      </c>
      <c r="F14" s="86">
        <v>187.82</v>
      </c>
      <c r="G14" s="85">
        <v>779.51</v>
      </c>
      <c r="H14" s="48">
        <f t="shared" si="1"/>
        <v>190.70954830598708</v>
      </c>
      <c r="I14" s="82">
        <f>D14-Апрель!D14</f>
        <v>305.5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48974.2</v>
      </c>
      <c r="E15" s="86">
        <f t="shared" si="0"/>
        <v>105.89703115877786</v>
      </c>
      <c r="F15" s="86"/>
      <c r="G15" s="85">
        <v>308.11</v>
      </c>
      <c r="H15" s="48">
        <f t="shared" si="1"/>
        <v>15895.037486611924</v>
      </c>
      <c r="I15" s="82">
        <f>D15-Апрель!D15</f>
        <v>2397.0999999999985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21189</v>
      </c>
      <c r="D16" s="87">
        <f>SUM(D17:D20)</f>
        <v>24837.6</v>
      </c>
      <c r="E16" s="86">
        <f t="shared" si="0"/>
        <v>44.68158595380298</v>
      </c>
      <c r="F16" s="86">
        <v>1853.18</v>
      </c>
      <c r="G16" s="30">
        <f>G17+G18+G19+G20</f>
        <v>9408.489999999998</v>
      </c>
      <c r="H16" s="86">
        <f t="shared" si="1"/>
        <v>263.99135249120746</v>
      </c>
      <c r="I16" s="30">
        <f>D16-Апрель!D16</f>
        <v>6837.699999999997</v>
      </c>
    </row>
    <row r="17" spans="1:9" ht="37.5" customHeight="1">
      <c r="A17" s="39" t="s">
        <v>83</v>
      </c>
      <c r="B17" s="82">
        <v>25133.1</v>
      </c>
      <c r="C17" s="82">
        <v>9348.9</v>
      </c>
      <c r="D17" s="82">
        <v>12161.3</v>
      </c>
      <c r="E17" s="86">
        <f t="shared" si="0"/>
        <v>48.387584500121356</v>
      </c>
      <c r="F17" s="86">
        <v>844.23</v>
      </c>
      <c r="G17" s="85">
        <v>4263.9</v>
      </c>
      <c r="H17" s="48">
        <f t="shared" si="1"/>
        <v>285.21541311944463</v>
      </c>
      <c r="I17" s="82">
        <f>D17-Апрель!D17</f>
        <v>3375.7999999999993</v>
      </c>
    </row>
    <row r="18" spans="1:9" ht="56.25" customHeight="1">
      <c r="A18" s="39" t="s">
        <v>84</v>
      </c>
      <c r="B18" s="82">
        <v>139.1</v>
      </c>
      <c r="C18" s="82">
        <v>57.5</v>
      </c>
      <c r="D18" s="82">
        <v>75.3</v>
      </c>
      <c r="E18" s="86">
        <f t="shared" si="0"/>
        <v>54.133716750539186</v>
      </c>
      <c r="F18" s="86">
        <v>5.74</v>
      </c>
      <c r="G18" s="85">
        <v>32.11</v>
      </c>
      <c r="H18" s="48">
        <f t="shared" si="1"/>
        <v>234.50638430395517</v>
      </c>
      <c r="I18" s="82">
        <f>D18-Апрель!D18</f>
        <v>15</v>
      </c>
    </row>
    <row r="19" spans="1:9" ht="55.5" customHeight="1">
      <c r="A19" s="39" t="s">
        <v>85</v>
      </c>
      <c r="B19" s="82">
        <f>33467400/1000</f>
        <v>33467.4</v>
      </c>
      <c r="C19" s="82">
        <v>13220.2</v>
      </c>
      <c r="D19" s="82">
        <v>14093.3</v>
      </c>
      <c r="E19" s="86">
        <f t="shared" si="0"/>
        <v>42.110531442538104</v>
      </c>
      <c r="F19" s="86">
        <v>1158.41</v>
      </c>
      <c r="G19" s="85">
        <v>5854.639999999999</v>
      </c>
      <c r="H19" s="48">
        <f t="shared" si="1"/>
        <v>240.72018091633302</v>
      </c>
      <c r="I19" s="82">
        <f>D19-Апрель!D19</f>
        <v>3667.3999999999996</v>
      </c>
    </row>
    <row r="20" spans="1:9" ht="15.75" customHeight="1">
      <c r="A20" s="39" t="s">
        <v>86</v>
      </c>
      <c r="B20" s="82">
        <v>-3151.6</v>
      </c>
      <c r="C20" s="82">
        <v>-1437.6</v>
      </c>
      <c r="D20" s="82">
        <v>-1492.3</v>
      </c>
      <c r="E20" s="86">
        <f t="shared" si="0"/>
        <v>47.350552100520375</v>
      </c>
      <c r="F20" s="86">
        <v>-155.2</v>
      </c>
      <c r="G20" s="85">
        <v>-742.1600000000001</v>
      </c>
      <c r="H20" s="48">
        <f t="shared" si="1"/>
        <v>201.07523984046566</v>
      </c>
      <c r="I20" s="82">
        <f>D20-Апрель!D20</f>
        <v>-220.39999999999986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65311.9</v>
      </c>
      <c r="D21" s="87">
        <f>SUM(D22:D25)</f>
        <v>58267.100000000006</v>
      </c>
      <c r="E21" s="86">
        <f t="shared" si="0"/>
        <v>43.41276966691875</v>
      </c>
      <c r="F21" s="86">
        <v>7362.96</v>
      </c>
      <c r="G21" s="30">
        <f>G22+G24+G25+G23</f>
        <v>63635.170000000006</v>
      </c>
      <c r="H21" s="86">
        <f t="shared" si="1"/>
        <v>91.56430319900143</v>
      </c>
      <c r="I21" s="30">
        <f>D21-Апрель!D21</f>
        <v>11518</v>
      </c>
    </row>
    <row r="22" spans="1:9" ht="28.5" customHeight="1">
      <c r="A22" s="56" t="s">
        <v>146</v>
      </c>
      <c r="B22" s="85">
        <v>110640.7</v>
      </c>
      <c r="C22" s="85">
        <v>52950</v>
      </c>
      <c r="D22" s="85">
        <v>46656</v>
      </c>
      <c r="E22" s="86">
        <f t="shared" si="0"/>
        <v>42.16893060148752</v>
      </c>
      <c r="F22" s="86"/>
      <c r="G22" s="85">
        <v>46625.79</v>
      </c>
      <c r="H22" s="48">
        <f t="shared" si="1"/>
        <v>100.06479246785953</v>
      </c>
      <c r="I22" s="82">
        <f>D22-Апрель!D22</f>
        <v>10707.5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-4.4</v>
      </c>
      <c r="E23" s="86">
        <v>0</v>
      </c>
      <c r="F23" s="86">
        <v>7198.75</v>
      </c>
      <c r="G23" s="85">
        <v>7095.04</v>
      </c>
      <c r="H23" s="48">
        <f t="shared" si="1"/>
        <v>-0.06201515424860184</v>
      </c>
      <c r="I23" s="82">
        <f>D23-Апрель!D23</f>
        <v>-61.8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541.8</v>
      </c>
      <c r="E24" s="86">
        <f aca="true" t="shared" si="2" ref="E24:E47">$D:$D/$B:$B*100</f>
        <v>43.51807228915662</v>
      </c>
      <c r="F24" s="86">
        <v>113.58</v>
      </c>
      <c r="G24" s="85">
        <v>1069.23</v>
      </c>
      <c r="H24" s="48">
        <f t="shared" si="1"/>
        <v>50.67197890070424</v>
      </c>
      <c r="I24" s="82">
        <f>D24-Апрель!D24</f>
        <v>5</v>
      </c>
    </row>
    <row r="25" spans="1:9" ht="27" customHeight="1">
      <c r="A25" s="56" t="s">
        <v>88</v>
      </c>
      <c r="B25" s="85">
        <v>22330.8</v>
      </c>
      <c r="C25" s="85">
        <v>11116.9</v>
      </c>
      <c r="D25" s="85">
        <v>11073.7</v>
      </c>
      <c r="E25" s="86">
        <f t="shared" si="2"/>
        <v>49.589356404607095</v>
      </c>
      <c r="F25" s="86">
        <v>50.63</v>
      </c>
      <c r="G25" s="85">
        <v>8845.109999999999</v>
      </c>
      <c r="H25" s="48">
        <f t="shared" si="1"/>
        <v>125.19572961783405</v>
      </c>
      <c r="I25" s="82">
        <f>D25-Апрель!D25</f>
        <v>867.3000000000011</v>
      </c>
    </row>
    <row r="26" spans="1:9" ht="12.75">
      <c r="A26" s="59" t="s">
        <v>8</v>
      </c>
      <c r="B26" s="87">
        <f>SUM(B27:B28)</f>
        <v>42549</v>
      </c>
      <c r="C26" s="87">
        <f>SUM(C27:C28)</f>
        <v>7958.2</v>
      </c>
      <c r="D26" s="87">
        <f>SUM(D27:D28)</f>
        <v>7333.1</v>
      </c>
      <c r="E26" s="86">
        <f t="shared" si="2"/>
        <v>17.23448259653576</v>
      </c>
      <c r="F26" s="86">
        <v>2465.82</v>
      </c>
      <c r="G26" s="30">
        <f>SUM(G27:G28)</f>
        <v>6975.32</v>
      </c>
      <c r="H26" s="86">
        <f t="shared" si="1"/>
        <v>105.12922704621437</v>
      </c>
      <c r="I26" s="30">
        <f>D26-Апрель!D26</f>
        <v>1165.8000000000002</v>
      </c>
    </row>
    <row r="27" spans="1:9" ht="12.75">
      <c r="A27" s="56" t="s">
        <v>106</v>
      </c>
      <c r="B27" s="82">
        <v>25216.9</v>
      </c>
      <c r="C27" s="82">
        <v>2609</v>
      </c>
      <c r="D27" s="82">
        <v>2834.6</v>
      </c>
      <c r="E27" s="86">
        <f t="shared" si="2"/>
        <v>11.240874175652042</v>
      </c>
      <c r="F27" s="86">
        <v>536.1</v>
      </c>
      <c r="G27" s="85">
        <v>1984.1</v>
      </c>
      <c r="H27" s="48">
        <f t="shared" si="1"/>
        <v>142.86578297464845</v>
      </c>
      <c r="I27" s="82">
        <f>D27-Апрель!D27</f>
        <v>338.0999999999999</v>
      </c>
    </row>
    <row r="28" spans="1:9" ht="12.75">
      <c r="A28" s="56" t="s">
        <v>107</v>
      </c>
      <c r="B28" s="85">
        <f>17332100/1000</f>
        <v>17332.1</v>
      </c>
      <c r="C28" s="85">
        <v>5349.2</v>
      </c>
      <c r="D28" s="85">
        <v>4498.5</v>
      </c>
      <c r="E28" s="86">
        <f t="shared" si="2"/>
        <v>25.954731394349217</v>
      </c>
      <c r="F28" s="86">
        <v>1929.72</v>
      </c>
      <c r="G28" s="85">
        <v>4991.219999999999</v>
      </c>
      <c r="H28" s="48">
        <f t="shared" si="1"/>
        <v>90.12826523375048</v>
      </c>
      <c r="I28" s="82">
        <f>D28-Апрель!D28</f>
        <v>827.6999999999998</v>
      </c>
    </row>
    <row r="29" spans="1:9" ht="12.75">
      <c r="A29" s="52" t="s">
        <v>9</v>
      </c>
      <c r="B29" s="87">
        <f>SUM(B30:B32)</f>
        <v>16105.5</v>
      </c>
      <c r="C29" s="87">
        <f>SUM(C30:C32)</f>
        <v>6342.2</v>
      </c>
      <c r="D29" s="87">
        <f>SUM(D30:D32)</f>
        <v>6399.2</v>
      </c>
      <c r="E29" s="86">
        <f t="shared" si="2"/>
        <v>39.733010462264446</v>
      </c>
      <c r="F29" s="86">
        <v>793.07</v>
      </c>
      <c r="G29" s="30">
        <f>G30+G32+G31</f>
        <v>6055</v>
      </c>
      <c r="H29" s="86">
        <f t="shared" si="1"/>
        <v>105.68455821635013</v>
      </c>
      <c r="I29" s="30">
        <f>D29-Апрель!D29</f>
        <v>1288.1000000000004</v>
      </c>
    </row>
    <row r="30" spans="1:9" ht="25.5">
      <c r="A30" s="56" t="s">
        <v>10</v>
      </c>
      <c r="B30" s="85">
        <v>15988.3</v>
      </c>
      <c r="C30" s="85">
        <v>6300</v>
      </c>
      <c r="D30" s="85">
        <v>6325.2</v>
      </c>
      <c r="E30" s="86">
        <f t="shared" si="2"/>
        <v>39.5614292951721</v>
      </c>
      <c r="F30" s="86">
        <v>793.07</v>
      </c>
      <c r="G30" s="85">
        <v>5964.6</v>
      </c>
      <c r="H30" s="48">
        <f t="shared" si="1"/>
        <v>106.04566944975353</v>
      </c>
      <c r="I30" s="82">
        <f>D30-Апрель!D30</f>
        <v>1263.3000000000002</v>
      </c>
    </row>
    <row r="31" spans="1:9" ht="25.5">
      <c r="A31" s="56" t="s">
        <v>91</v>
      </c>
      <c r="B31" s="81">
        <f>67200/1000</f>
        <v>67.2</v>
      </c>
      <c r="C31" s="81">
        <v>27.2</v>
      </c>
      <c r="D31" s="81">
        <v>24</v>
      </c>
      <c r="E31" s="86">
        <f t="shared" si="2"/>
        <v>35.714285714285715</v>
      </c>
      <c r="F31" s="86">
        <v>0</v>
      </c>
      <c r="G31" s="85">
        <v>60</v>
      </c>
      <c r="H31" s="48">
        <f t="shared" si="1"/>
        <v>40</v>
      </c>
      <c r="I31" s="82">
        <f>D31-Апрель!D31</f>
        <v>4.800000000000001</v>
      </c>
    </row>
    <row r="32" spans="1:9" ht="25.5">
      <c r="A32" s="56" t="s">
        <v>90</v>
      </c>
      <c r="B32" s="81">
        <f>50000/1000</f>
        <v>50</v>
      </c>
      <c r="C32" s="81">
        <v>15</v>
      </c>
      <c r="D32" s="81">
        <v>50</v>
      </c>
      <c r="E32" s="86">
        <f t="shared" si="2"/>
        <v>100</v>
      </c>
      <c r="F32" s="86">
        <v>0</v>
      </c>
      <c r="G32" s="85">
        <v>30.4</v>
      </c>
      <c r="H32" s="48">
        <f t="shared" si="1"/>
        <v>164.47368421052633</v>
      </c>
      <c r="I32" s="82">
        <f>D32-Апрель!D32</f>
        <v>20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 t="shared" si="2"/>
        <v>#DIV/0!</v>
      </c>
      <c r="F33" s="86">
        <v>0</v>
      </c>
      <c r="G33" s="30">
        <f>G34+G35</f>
        <v>0.039999999999999994</v>
      </c>
      <c r="H33" s="48">
        <f t="shared" si="1"/>
        <v>50.000000000000014</v>
      </c>
      <c r="I33" s="30">
        <f>D33-Апрель!D33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 t="shared" si="2"/>
        <v>#DIV/0!</v>
      </c>
      <c r="F34" s="86">
        <v>0</v>
      </c>
      <c r="G34" s="85">
        <v>0.06</v>
      </c>
      <c r="H34" s="48">
        <f t="shared" si="1"/>
        <v>33.333333333333336</v>
      </c>
      <c r="I34" s="30">
        <f>D34-Апрель!D34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 t="shared" si="2"/>
        <v>#DIV/0!</v>
      </c>
      <c r="F35" s="86">
        <v>0</v>
      </c>
      <c r="G35" s="85">
        <v>-0.02</v>
      </c>
      <c r="H35" s="48">
        <f t="shared" si="1"/>
        <v>0</v>
      </c>
      <c r="I35" s="30">
        <f>D35-Апрель!D35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23868.6</v>
      </c>
      <c r="D36" s="87">
        <f>SUM(D38:D44)</f>
        <v>20333.1</v>
      </c>
      <c r="E36" s="86">
        <f t="shared" si="2"/>
        <v>27.64512873419162</v>
      </c>
      <c r="F36" s="86">
        <v>3247.05</v>
      </c>
      <c r="G36" s="30">
        <f>G37+G39+G40+G41+G43+G44+G38+G42</f>
        <v>26689.89</v>
      </c>
      <c r="H36" s="86">
        <f t="shared" si="1"/>
        <v>76.1827793220579</v>
      </c>
      <c r="I36" s="30">
        <f>D36-Апрель!D36</f>
        <v>3975.4000000000015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 t="shared" si="2"/>
        <v>#DIV/0!</v>
      </c>
      <c r="F37" s="86"/>
      <c r="G37" s="85"/>
      <c r="H37" s="48" t="e">
        <f t="shared" si="1"/>
        <v>#DIV/0!</v>
      </c>
      <c r="I37" s="30">
        <f>D37-Апрель!D37</f>
        <v>0</v>
      </c>
    </row>
    <row r="38" spans="1:9" ht="76.5">
      <c r="A38" s="56" t="s">
        <v>117</v>
      </c>
      <c r="B38" s="85">
        <v>37670.9</v>
      </c>
      <c r="C38" s="85">
        <v>12500</v>
      </c>
      <c r="D38" s="85">
        <v>12298.4</v>
      </c>
      <c r="E38" s="86">
        <f t="shared" si="2"/>
        <v>32.64695029850627</v>
      </c>
      <c r="F38" s="86">
        <v>2393.3</v>
      </c>
      <c r="G38" s="85">
        <v>17157.13</v>
      </c>
      <c r="H38" s="48">
        <f t="shared" si="1"/>
        <v>71.68098627217955</v>
      </c>
      <c r="I38" s="82">
        <f>D38-Апрель!D38</f>
        <v>2308.5</v>
      </c>
    </row>
    <row r="39" spans="1:9" ht="76.5">
      <c r="A39" s="56" t="s">
        <v>125</v>
      </c>
      <c r="B39" s="82">
        <v>7265</v>
      </c>
      <c r="C39" s="82">
        <v>1387.1</v>
      </c>
      <c r="D39" s="82">
        <v>1319.1</v>
      </c>
      <c r="E39" s="86">
        <f t="shared" si="2"/>
        <v>18.156916724019272</v>
      </c>
      <c r="F39" s="86">
        <v>75.44</v>
      </c>
      <c r="G39" s="85">
        <v>396.45</v>
      </c>
      <c r="H39" s="48">
        <f t="shared" si="1"/>
        <v>332.72796065077563</v>
      </c>
      <c r="I39" s="82">
        <f>D39-Апрель!D39</f>
        <v>392.19999999999993</v>
      </c>
    </row>
    <row r="40" spans="1:9" ht="76.5">
      <c r="A40" s="56" t="s">
        <v>118</v>
      </c>
      <c r="B40" s="82">
        <v>428</v>
      </c>
      <c r="C40" s="82">
        <v>174.9</v>
      </c>
      <c r="D40" s="82">
        <v>179.3</v>
      </c>
      <c r="E40" s="86">
        <f t="shared" si="2"/>
        <v>41.89252336448598</v>
      </c>
      <c r="F40" s="86">
        <v>3.43</v>
      </c>
      <c r="G40" s="85">
        <v>183.46000000000004</v>
      </c>
      <c r="H40" s="48">
        <f t="shared" si="1"/>
        <v>97.73247574403139</v>
      </c>
      <c r="I40" s="82">
        <f>D40-Апрель!D40</f>
        <v>108.4</v>
      </c>
    </row>
    <row r="41" spans="1:9" ht="38.25">
      <c r="A41" s="56" t="s">
        <v>119</v>
      </c>
      <c r="B41" s="82">
        <v>21306.5</v>
      </c>
      <c r="C41" s="82">
        <v>5427.5</v>
      </c>
      <c r="D41" s="82">
        <v>5253.6</v>
      </c>
      <c r="E41" s="86">
        <f t="shared" si="2"/>
        <v>24.657264215145613</v>
      </c>
      <c r="F41" s="86">
        <v>538.73</v>
      </c>
      <c r="G41" s="85">
        <v>5326.290000000001</v>
      </c>
      <c r="H41" s="48">
        <f t="shared" si="1"/>
        <v>98.63526019048906</v>
      </c>
      <c r="I41" s="82">
        <f>D41-Апрель!D41</f>
        <v>853.4000000000005</v>
      </c>
    </row>
    <row r="42" spans="1:9" ht="51">
      <c r="A42" s="56" t="s">
        <v>147</v>
      </c>
      <c r="B42" s="82">
        <v>64.2</v>
      </c>
      <c r="C42" s="82">
        <v>26.8</v>
      </c>
      <c r="D42" s="82">
        <v>0</v>
      </c>
      <c r="E42" s="86">
        <f t="shared" si="2"/>
        <v>0</v>
      </c>
      <c r="F42" s="86"/>
      <c r="G42" s="85">
        <v>13.89</v>
      </c>
      <c r="H42" s="48">
        <f t="shared" si="1"/>
        <v>0</v>
      </c>
      <c r="I42" s="82">
        <f>D42-Апрель!D42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146.6</v>
      </c>
      <c r="E43" s="86">
        <f t="shared" si="2"/>
        <v>5.3589706097382654</v>
      </c>
      <c r="F43" s="86">
        <v>0</v>
      </c>
      <c r="G43" s="85">
        <v>1741.63</v>
      </c>
      <c r="H43" s="48">
        <f t="shared" si="1"/>
        <v>8.417402088847803</v>
      </c>
      <c r="I43" s="82">
        <f>D43-Апрель!D43</f>
        <v>41.099999999999994</v>
      </c>
    </row>
    <row r="44" spans="1:9" ht="76.5">
      <c r="A44" s="60" t="s">
        <v>121</v>
      </c>
      <c r="B44" s="82">
        <v>4080.19</v>
      </c>
      <c r="C44" s="82">
        <v>1616.7</v>
      </c>
      <c r="D44" s="82">
        <v>1136.1</v>
      </c>
      <c r="E44" s="86">
        <f t="shared" si="2"/>
        <v>27.844291564853595</v>
      </c>
      <c r="F44" s="86">
        <v>236.15</v>
      </c>
      <c r="G44" s="85">
        <v>1871.04</v>
      </c>
      <c r="H44" s="48">
        <f t="shared" si="1"/>
        <v>60.72024114930733</v>
      </c>
      <c r="I44" s="82">
        <f>D44-Апрель!D44</f>
        <v>271.79999999999995</v>
      </c>
    </row>
    <row r="45" spans="1:9" ht="27" customHeight="1">
      <c r="A45" s="53" t="s">
        <v>13</v>
      </c>
      <c r="B45" s="87">
        <v>766.9</v>
      </c>
      <c r="C45" s="87">
        <v>408.1</v>
      </c>
      <c r="D45" s="87">
        <v>406.9</v>
      </c>
      <c r="E45" s="86">
        <f t="shared" si="2"/>
        <v>53.05776502803494</v>
      </c>
      <c r="F45" s="86">
        <v>43.6</v>
      </c>
      <c r="G45" s="87">
        <v>362.1</v>
      </c>
      <c r="H45" s="86">
        <f t="shared" si="1"/>
        <v>112.37227285280309</v>
      </c>
      <c r="I45" s="30">
        <f>D45-Апрель!D45</f>
        <v>24.399999999999977</v>
      </c>
    </row>
    <row r="46" spans="1:9" ht="25.5">
      <c r="A46" s="53" t="s">
        <v>96</v>
      </c>
      <c r="B46" s="87">
        <v>1297.6</v>
      </c>
      <c r="C46" s="87">
        <v>272.4</v>
      </c>
      <c r="D46" s="87">
        <v>3394.5</v>
      </c>
      <c r="E46" s="86">
        <f t="shared" si="2"/>
        <v>261.5983353884094</v>
      </c>
      <c r="F46" s="86">
        <v>561.58</v>
      </c>
      <c r="G46" s="87">
        <v>586.78</v>
      </c>
      <c r="H46" s="86">
        <f t="shared" si="1"/>
        <v>578.496199597805</v>
      </c>
      <c r="I46" s="30">
        <f>D46-Апрель!D46</f>
        <v>2961.9</v>
      </c>
    </row>
    <row r="47" spans="1:9" ht="25.5">
      <c r="A47" s="59" t="s">
        <v>14</v>
      </c>
      <c r="B47" s="87">
        <f>SUM(B48:B50)</f>
        <v>12400</v>
      </c>
      <c r="C47" s="87">
        <f>SUM(C48:C50)</f>
        <v>1418.8</v>
      </c>
      <c r="D47" s="87">
        <f>SUM(D48:D50)</f>
        <v>742.7</v>
      </c>
      <c r="E47" s="86">
        <f t="shared" si="2"/>
        <v>5.989516129032259</v>
      </c>
      <c r="F47" s="86">
        <v>585.5</v>
      </c>
      <c r="G47" s="30">
        <f>G48+G49+G50</f>
        <v>560.3199999999999</v>
      </c>
      <c r="H47" s="86">
        <f t="shared" si="1"/>
        <v>132.54925756710455</v>
      </c>
      <c r="I47" s="30">
        <f>D47-Апрель!D47</f>
        <v>46.10000000000002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 t="shared" si="1"/>
        <v>0</v>
      </c>
      <c r="I48" s="30">
        <f>D48-Апрель!D48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13.34</v>
      </c>
      <c r="H49" s="48">
        <v>0</v>
      </c>
      <c r="I49" s="82">
        <f>D49-Апрель!D49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1418.8</v>
      </c>
      <c r="D50" s="83">
        <v>742.7</v>
      </c>
      <c r="E50" s="86">
        <f aca="true" t="shared" si="3" ref="E50:E72">$D:$D/$B:$B*100</f>
        <v>19.043589743589745</v>
      </c>
      <c r="F50" s="86">
        <v>548.36</v>
      </c>
      <c r="G50" s="85">
        <v>494.28999999999996</v>
      </c>
      <c r="H50" s="48">
        <f aca="true" t="shared" si="4" ref="H50:H69">$D:$D/$G:$G*100</f>
        <v>150.25592263650896</v>
      </c>
      <c r="I50" s="30">
        <f>D50-Апрель!D50</f>
        <v>46.10000000000002</v>
      </c>
    </row>
    <row r="51" spans="1:9" ht="12.75">
      <c r="A51" s="53" t="s">
        <v>15</v>
      </c>
      <c r="B51" s="85">
        <v>5212.7</v>
      </c>
      <c r="C51" s="85">
        <v>984.9</v>
      </c>
      <c r="D51" s="85">
        <v>1461</v>
      </c>
      <c r="E51" s="86">
        <f t="shared" si="3"/>
        <v>28.02770157499952</v>
      </c>
      <c r="F51" s="86">
        <v>179.73</v>
      </c>
      <c r="G51" s="30">
        <v>5819.79</v>
      </c>
      <c r="H51" s="86">
        <f t="shared" si="4"/>
        <v>25.10399859788755</v>
      </c>
      <c r="I51" s="30">
        <f>D51-Апрель!D51</f>
        <v>347.0999999999999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 t="shared" si="3"/>
        <v>0</v>
      </c>
      <c r="F52" s="86"/>
      <c r="G52" s="85"/>
      <c r="H52" s="48" t="e">
        <f t="shared" si="4"/>
        <v>#DIV/0!</v>
      </c>
      <c r="I52" s="30">
        <f>D52-Апрель!D52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 t="shared" si="3"/>
        <v>0</v>
      </c>
      <c r="F53" s="86"/>
      <c r="G53" s="85"/>
      <c r="H53" s="48" t="e">
        <f t="shared" si="4"/>
        <v>#DIV/0!</v>
      </c>
      <c r="I53" s="30">
        <f>D53-Апрель!D53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 t="shared" si="3"/>
        <v>0</v>
      </c>
      <c r="F54" s="86"/>
      <c r="G54" s="85"/>
      <c r="H54" s="48" t="e">
        <f t="shared" si="4"/>
        <v>#DIV/0!</v>
      </c>
      <c r="I54" s="30">
        <f>D54-Апрель!D54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 t="shared" si="3"/>
        <v>0</v>
      </c>
      <c r="F55" s="86"/>
      <c r="G55" s="85"/>
      <c r="H55" s="48" t="e">
        <f t="shared" si="4"/>
        <v>#DIV/0!</v>
      </c>
      <c r="I55" s="30">
        <f>D55-Апрель!D55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 t="shared" si="3"/>
        <v>0</v>
      </c>
      <c r="F56" s="86"/>
      <c r="G56" s="85"/>
      <c r="H56" s="48" t="e">
        <f t="shared" si="4"/>
        <v>#DIV/0!</v>
      </c>
      <c r="I56" s="30">
        <f>D56-Апрель!D56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 t="shared" si="3"/>
        <v>0</v>
      </c>
      <c r="F57" s="86"/>
      <c r="G57" s="85"/>
      <c r="H57" s="48" t="e">
        <f t="shared" si="4"/>
        <v>#DIV/0!</v>
      </c>
      <c r="I57" s="30">
        <f>D57-Апрель!D57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 t="shared" si="3"/>
        <v>0</v>
      </c>
      <c r="F58" s="86"/>
      <c r="G58" s="85"/>
      <c r="H58" s="48" t="e">
        <f t="shared" si="4"/>
        <v>#DIV/0!</v>
      </c>
      <c r="I58" s="30">
        <f>D58-Апрель!D58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 t="shared" si="3"/>
        <v>0</v>
      </c>
      <c r="F59" s="86"/>
      <c r="G59" s="85"/>
      <c r="H59" s="48" t="e">
        <f t="shared" si="4"/>
        <v>#DIV/0!</v>
      </c>
      <c r="I59" s="30">
        <f>D59-Апрель!D59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 t="shared" si="3"/>
        <v>0</v>
      </c>
      <c r="F60" s="86"/>
      <c r="G60" s="85"/>
      <c r="H60" s="48" t="e">
        <f t="shared" si="4"/>
        <v>#DIV/0!</v>
      </c>
      <c r="I60" s="30">
        <f>D60-Апрель!D60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 t="shared" si="3"/>
        <v>0</v>
      </c>
      <c r="F61" s="86"/>
      <c r="G61" s="85"/>
      <c r="H61" s="48" t="e">
        <f t="shared" si="4"/>
        <v>#DIV/0!</v>
      </c>
      <c r="I61" s="30">
        <f>D61-Апрель!D61</f>
        <v>0</v>
      </c>
    </row>
    <row r="62" spans="1:9" ht="12.75">
      <c r="A62" s="52" t="s">
        <v>16</v>
      </c>
      <c r="B62" s="81">
        <f>50000/1000</f>
        <v>50</v>
      </c>
      <c r="C62" s="81">
        <v>20.8</v>
      </c>
      <c r="D62" s="81">
        <v>2.5</v>
      </c>
      <c r="E62" s="86">
        <f t="shared" si="3"/>
        <v>5</v>
      </c>
      <c r="F62" s="86">
        <v>-38.79</v>
      </c>
      <c r="G62" s="87">
        <v>25.66</v>
      </c>
      <c r="H62" s="86">
        <f t="shared" si="4"/>
        <v>9.742790335151987</v>
      </c>
      <c r="I62" s="30">
        <f>D62-Апрель!D62</f>
        <v>2.5</v>
      </c>
    </row>
    <row r="63" spans="1:9" ht="12.75">
      <c r="A63" s="59" t="s">
        <v>17</v>
      </c>
      <c r="B63" s="87">
        <f>B62+B51+B47+B46+B45+B36+B29+B26+B21+B16+B8</f>
        <v>722924.49</v>
      </c>
      <c r="C63" s="87">
        <f>C62+C51+C47+C46+C45+C36+C29+C26+C21+C16+C8</f>
        <v>285505.48</v>
      </c>
      <c r="D63" s="87">
        <f>D62+D51+D47+D46+D45+D36+D29+D26+D21+D16+D8</f>
        <v>270956.5</v>
      </c>
      <c r="E63" s="86">
        <f t="shared" si="3"/>
        <v>37.480608797745944</v>
      </c>
      <c r="F63" s="86">
        <v>27699.089999999997</v>
      </c>
      <c r="G63" s="30">
        <f>G8+G16+G21+G26+G29+G33+G36+G45+G46+G47+G62+G51</f>
        <v>226811.84000000003</v>
      </c>
      <c r="H63" s="86">
        <f t="shared" si="4"/>
        <v>119.46311973836991</v>
      </c>
      <c r="I63" s="30">
        <f>D63-Апрель!D63</f>
        <v>49714.899999999965</v>
      </c>
    </row>
    <row r="64" spans="1:9" ht="12.75">
      <c r="A64" s="59" t="s">
        <v>18</v>
      </c>
      <c r="B64" s="85">
        <f>B65+B70+B71</f>
        <v>3329876.43</v>
      </c>
      <c r="C64" s="85">
        <f>C65+C70+C71</f>
        <v>834408.3999999999</v>
      </c>
      <c r="D64" s="85">
        <f>D65+D70+D71</f>
        <v>718366.7</v>
      </c>
      <c r="E64" s="86">
        <f t="shared" si="3"/>
        <v>21.573374120672696</v>
      </c>
      <c r="F64" s="86">
        <v>43822.57000000001</v>
      </c>
      <c r="G64" s="30">
        <f>G65+G71+G70</f>
        <v>663816.75</v>
      </c>
      <c r="H64" s="86">
        <f t="shared" si="4"/>
        <v>108.21762180601799</v>
      </c>
      <c r="I64" s="30">
        <f>D64-Апрель!D64</f>
        <v>189534.40000000002</v>
      </c>
    </row>
    <row r="65" spans="1:9" ht="25.5">
      <c r="A65" s="59" t="s">
        <v>19</v>
      </c>
      <c r="B65" s="85">
        <f>SUM(B66:B69)</f>
        <v>3343427</v>
      </c>
      <c r="C65" s="85">
        <f>SUM(C66:C69)</f>
        <v>852781.2999999999</v>
      </c>
      <c r="D65" s="85">
        <f>SUM(D66:D69)</f>
        <v>736739.6</v>
      </c>
      <c r="E65" s="86">
        <f t="shared" si="3"/>
        <v>22.03546241625733</v>
      </c>
      <c r="F65" s="86">
        <v>46091.770000000004</v>
      </c>
      <c r="G65" s="30">
        <f>G66+G67+G69+G68</f>
        <v>666662.05</v>
      </c>
      <c r="H65" s="86">
        <f t="shared" si="4"/>
        <v>110.51170529355913</v>
      </c>
      <c r="I65" s="30">
        <f>D65-Апрель!D65</f>
        <v>189534.40000000002</v>
      </c>
    </row>
    <row r="66" spans="1:9" ht="12.75">
      <c r="A66" s="56" t="s">
        <v>108</v>
      </c>
      <c r="B66" s="85">
        <v>480567.2</v>
      </c>
      <c r="C66" s="85">
        <v>194802.3</v>
      </c>
      <c r="D66" s="85">
        <v>166802.3</v>
      </c>
      <c r="E66" s="86">
        <f t="shared" si="3"/>
        <v>34.7094641498629</v>
      </c>
      <c r="F66" s="86">
        <v>15902.8</v>
      </c>
      <c r="G66" s="85">
        <v>169478.91</v>
      </c>
      <c r="H66" s="48">
        <f t="shared" si="4"/>
        <v>98.42068254982286</v>
      </c>
      <c r="I66" s="82">
        <f>D66-Апрель!D66</f>
        <v>30746.5</v>
      </c>
    </row>
    <row r="67" spans="1:9" ht="12.75" customHeight="1">
      <c r="A67" s="56" t="s">
        <v>109</v>
      </c>
      <c r="B67" s="85">
        <v>1687072</v>
      </c>
      <c r="C67" s="85">
        <v>225824.5</v>
      </c>
      <c r="D67" s="85">
        <v>140177.3</v>
      </c>
      <c r="E67" s="86">
        <f t="shared" si="3"/>
        <v>8.308910348817358</v>
      </c>
      <c r="F67" s="86">
        <v>0</v>
      </c>
      <c r="G67" s="85">
        <v>59928.76000000001</v>
      </c>
      <c r="H67" s="48">
        <f t="shared" si="4"/>
        <v>233.90655838699143</v>
      </c>
      <c r="I67" s="82">
        <f>D67-Апрель!D67</f>
        <v>38240.899999999994</v>
      </c>
    </row>
    <row r="68" spans="1:9" ht="18.75" customHeight="1">
      <c r="A68" s="56" t="s">
        <v>110</v>
      </c>
      <c r="B68" s="85">
        <v>1123261.5</v>
      </c>
      <c r="C68" s="85">
        <v>414746.6</v>
      </c>
      <c r="D68" s="85">
        <v>414604.6</v>
      </c>
      <c r="E68" s="86">
        <f t="shared" si="3"/>
        <v>36.91078168351714</v>
      </c>
      <c r="F68" s="86">
        <v>30188.97</v>
      </c>
      <c r="G68" s="85">
        <v>417005.71</v>
      </c>
      <c r="H68" s="48">
        <f t="shared" si="4"/>
        <v>99.42420212903079</v>
      </c>
      <c r="I68" s="82">
        <f>D68-Апрель!D68</f>
        <v>117414.59999999998</v>
      </c>
    </row>
    <row r="69" spans="1:9" ht="12.75" customHeight="1">
      <c r="A69" s="2" t="s">
        <v>122</v>
      </c>
      <c r="B69" s="82">
        <v>52526.3</v>
      </c>
      <c r="C69" s="82">
        <v>17407.9</v>
      </c>
      <c r="D69" s="82">
        <v>15155.4</v>
      </c>
      <c r="E69" s="86">
        <f t="shared" si="3"/>
        <v>28.85297460510258</v>
      </c>
      <c r="F69" s="86">
        <v>0</v>
      </c>
      <c r="G69" s="85">
        <v>20248.67</v>
      </c>
      <c r="H69" s="48">
        <f t="shared" si="4"/>
        <v>74.84639731893502</v>
      </c>
      <c r="I69" s="82">
        <f>D69-Апрель!D69</f>
        <v>3132.3999999999996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 t="shared" si="3"/>
        <v>0</v>
      </c>
      <c r="F70" s="86">
        <v>0</v>
      </c>
      <c r="G70" s="85"/>
      <c r="H70" s="48">
        <v>0</v>
      </c>
      <c r="I70" s="30">
        <f>D70-Апрель!D70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 t="shared" si="3"/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D71-Апрель!D71</f>
        <v>0</v>
      </c>
    </row>
    <row r="72" spans="1:9" ht="12.75">
      <c r="A72" s="52" t="s">
        <v>20</v>
      </c>
      <c r="B72" s="87">
        <f>B63+B64</f>
        <v>4052800.92</v>
      </c>
      <c r="C72" s="87">
        <f>C63+C64</f>
        <v>1119913.88</v>
      </c>
      <c r="D72" s="87">
        <f>D63+D64</f>
        <v>989323.2</v>
      </c>
      <c r="E72" s="86">
        <f t="shared" si="3"/>
        <v>24.41085115032001</v>
      </c>
      <c r="F72" s="86">
        <v>71521.66</v>
      </c>
      <c r="G72" s="30">
        <v>890628.6</v>
      </c>
      <c r="H72" s="86">
        <f>$D:$D/$G:$G*100</f>
        <v>111.08145415496426</v>
      </c>
      <c r="I72" s="30">
        <f>D72-Апрель!D72</f>
        <v>239249.30000000005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0">
        <f>B79+B80+B81+B82+B83+B84+B85+B86</f>
        <v>395926.1</v>
      </c>
      <c r="C78" s="30">
        <f>C79+C80+C81+C82+C83+C84+C85+C86</f>
        <v>54052.600000000006</v>
      </c>
      <c r="D78" s="30">
        <f>D79+D80+D81+D82+D83+D84+D85+D86</f>
        <v>51038.9</v>
      </c>
      <c r="E78" s="86">
        <f>$D:$D/$B:$B*100</f>
        <v>12.891016783182518</v>
      </c>
      <c r="F78" s="86">
        <f>$D:$D/$C:$C*100</f>
        <v>94.424505019185</v>
      </c>
      <c r="G78" s="35">
        <f>G79+G80+G81+G82+G83+G84+G85+G86</f>
        <v>50035.70000000001</v>
      </c>
      <c r="H78" s="86">
        <f aca="true" t="shared" si="5" ref="H78:H83">$D:$D/$G:$G*100</f>
        <v>102.00496845252486</v>
      </c>
      <c r="I78" s="30">
        <f>I79+I80+I81+I82+I83+I84+I85+I86</f>
        <v>9127.999999999998</v>
      </c>
    </row>
    <row r="79" spans="1:9" ht="14.25" customHeight="1">
      <c r="A79" s="8" t="s">
        <v>24</v>
      </c>
      <c r="B79" s="82">
        <v>2984.6</v>
      </c>
      <c r="C79" s="71">
        <v>961.1</v>
      </c>
      <c r="D79" s="71">
        <v>847.6</v>
      </c>
      <c r="E79" s="48">
        <f>$D:$D/$B:$B*100</f>
        <v>28.399115459358036</v>
      </c>
      <c r="F79" s="48">
        <v>0</v>
      </c>
      <c r="G79" s="36">
        <v>1023.9</v>
      </c>
      <c r="H79" s="48">
        <f t="shared" si="5"/>
        <v>82.78152163297197</v>
      </c>
      <c r="I79" s="82">
        <f>D79-Апрель!D79</f>
        <v>163.60000000000002</v>
      </c>
    </row>
    <row r="80" spans="1:9" ht="12.75">
      <c r="A80" s="8" t="s">
        <v>25</v>
      </c>
      <c r="B80" s="82">
        <v>6999</v>
      </c>
      <c r="C80" s="71">
        <v>2724.3</v>
      </c>
      <c r="D80" s="71">
        <v>2370.6</v>
      </c>
      <c r="E80" s="48">
        <f>$D:$D/$B:$B*100</f>
        <v>33.87055293613373</v>
      </c>
      <c r="F80" s="48">
        <f>$D:$D/$C:$C*100</f>
        <v>87.01684836471753</v>
      </c>
      <c r="G80" s="36">
        <v>2653.5</v>
      </c>
      <c r="H80" s="48">
        <f t="shared" si="5"/>
        <v>89.33860938383266</v>
      </c>
      <c r="I80" s="82">
        <f>D80-Апрель!D80</f>
        <v>363.1999999999998</v>
      </c>
    </row>
    <row r="81" spans="1:9" ht="25.5">
      <c r="A81" s="8" t="s">
        <v>26</v>
      </c>
      <c r="B81" s="82">
        <v>65938.6</v>
      </c>
      <c r="C81" s="71">
        <v>24482.9</v>
      </c>
      <c r="D81" s="71">
        <v>22339.9</v>
      </c>
      <c r="E81" s="48">
        <f>$D:$D/$B:$B*100</f>
        <v>33.879851862186946</v>
      </c>
      <c r="F81" s="48">
        <f>$D:$D/$C:$C*100</f>
        <v>91.24695195422112</v>
      </c>
      <c r="G81" s="36">
        <v>24203.4</v>
      </c>
      <c r="H81" s="48">
        <f t="shared" si="5"/>
        <v>92.30066850111967</v>
      </c>
      <c r="I81" s="82">
        <f>D81-Апрель!D81</f>
        <v>3503.5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 t="shared" si="5"/>
        <v>598.5915492957747</v>
      </c>
      <c r="I82" s="82">
        <f>D82-Апрель!D82</f>
        <v>0</v>
      </c>
    </row>
    <row r="83" spans="1:9" ht="25.5">
      <c r="A83" s="1" t="s">
        <v>27</v>
      </c>
      <c r="B83" s="85">
        <v>16457.8</v>
      </c>
      <c r="C83" s="71">
        <v>6249.5</v>
      </c>
      <c r="D83" s="71">
        <v>6011.2</v>
      </c>
      <c r="E83" s="48">
        <f>$D:$D/$B:$B*100</f>
        <v>36.524930428125266</v>
      </c>
      <c r="F83" s="48">
        <v>0</v>
      </c>
      <c r="G83" s="28">
        <v>5760.3</v>
      </c>
      <c r="H83" s="48">
        <f t="shared" si="5"/>
        <v>104.35567591965696</v>
      </c>
      <c r="I83" s="82">
        <f>D83-Апрель!D83</f>
        <v>1425.3999999999996</v>
      </c>
    </row>
    <row r="84" spans="1:9" ht="12.75">
      <c r="A84" s="8" t="s">
        <v>28</v>
      </c>
      <c r="B84" s="82">
        <v>8500</v>
      </c>
      <c r="C84" s="71">
        <v>0</v>
      </c>
      <c r="D84" s="71">
        <v>0</v>
      </c>
      <c r="E84" s="48">
        <v>0</v>
      </c>
      <c r="F84" s="48">
        <v>0</v>
      </c>
      <c r="G84" s="36">
        <v>0</v>
      </c>
      <c r="H84" s="48">
        <v>0</v>
      </c>
      <c r="I84" s="82">
        <f>D84-Апрель!D84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D85-Апрель!D85</f>
        <v>0</v>
      </c>
    </row>
    <row r="86" spans="1:9" ht="12.75">
      <c r="A86" s="1" t="s">
        <v>30</v>
      </c>
      <c r="B86" s="82">
        <v>293038.6</v>
      </c>
      <c r="C86" s="71">
        <v>19464.8</v>
      </c>
      <c r="D86" s="71">
        <v>19299.6</v>
      </c>
      <c r="E86" s="48">
        <f>$D:$D/$B:$B*100</f>
        <v>6.586026550768397</v>
      </c>
      <c r="F86" s="48">
        <f>$D:$D/$C:$C*100</f>
        <v>99.15128847971722</v>
      </c>
      <c r="G86" s="36">
        <v>16366.2</v>
      </c>
      <c r="H86" s="48">
        <f>$D:$D/$G:$G*100</f>
        <v>117.92352531436741</v>
      </c>
      <c r="I86" s="82">
        <f>D86-Апрель!D86</f>
        <v>3672.2999999999993</v>
      </c>
    </row>
    <row r="87" spans="1:9" ht="12.75">
      <c r="A87" s="7" t="s">
        <v>31</v>
      </c>
      <c r="B87" s="87">
        <f>428600/1000</f>
        <v>428.6</v>
      </c>
      <c r="C87" s="94">
        <v>158</v>
      </c>
      <c r="D87" s="94">
        <v>136.4</v>
      </c>
      <c r="E87" s="86">
        <f>$D:$D/$B:$B*100</f>
        <v>31.824545030331308</v>
      </c>
      <c r="F87" s="86">
        <f>$D:$D/$C:$C*100</f>
        <v>86.32911392405063</v>
      </c>
      <c r="G87" s="35">
        <v>138.6</v>
      </c>
      <c r="H87" s="86">
        <f>$D:$D/$G:$G*100</f>
        <v>98.41269841269842</v>
      </c>
      <c r="I87" s="30">
        <f>D87-Апрель!D87</f>
        <v>10</v>
      </c>
    </row>
    <row r="88" spans="1:9" ht="25.5">
      <c r="A88" s="9" t="s">
        <v>32</v>
      </c>
      <c r="B88" s="87">
        <v>14233.6</v>
      </c>
      <c r="C88" s="94">
        <v>2358.8</v>
      </c>
      <c r="D88" s="94">
        <v>2109</v>
      </c>
      <c r="E88" s="86">
        <f>$D:$D/$B:$B*100</f>
        <v>14.81705260791367</v>
      </c>
      <c r="F88" s="86">
        <f>$D:$D/$C:$C*100</f>
        <v>89.40986942513142</v>
      </c>
      <c r="G88" s="27">
        <v>1772.6</v>
      </c>
      <c r="H88" s="86">
        <f>$D:$D/$G:$G*100</f>
        <v>118.97777276317274</v>
      </c>
      <c r="I88" s="30">
        <f>D88-Апрель!D88</f>
        <v>539.7</v>
      </c>
    </row>
    <row r="89" spans="1:9" ht="12.75">
      <c r="A89" s="7" t="s">
        <v>33</v>
      </c>
      <c r="B89" s="30">
        <f>B90+B91+B92+B93+B94</f>
        <v>592186.4</v>
      </c>
      <c r="C89" s="30">
        <f>C90+C91+C92+C93+C94</f>
        <v>24534.6</v>
      </c>
      <c r="D89" s="30">
        <f>D90+D91+D92+D93+D94</f>
        <v>23826.9</v>
      </c>
      <c r="E89" s="86">
        <f>$D:$D/$B:$B*100</f>
        <v>4.023547315507415</v>
      </c>
      <c r="F89" s="86">
        <f>$D:$D/$C:$C*100</f>
        <v>97.11550218874571</v>
      </c>
      <c r="G89" s="35">
        <f>G90+G91+G92+G93+G94</f>
        <v>27915.8</v>
      </c>
      <c r="H89" s="86">
        <f>$D:$D/$G:$G*100</f>
        <v>85.35273930892183</v>
      </c>
      <c r="I89" s="30">
        <f>D89-Апрель!D89</f>
        <v>3134.0999999999985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D90-Апрель!D90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D91-Апрель!D91</f>
        <v>0</v>
      </c>
    </row>
    <row r="92" spans="1:9" ht="12.75">
      <c r="A92" s="8" t="s">
        <v>34</v>
      </c>
      <c r="B92" s="82">
        <v>27875.6</v>
      </c>
      <c r="C92" s="71">
        <v>9163.3</v>
      </c>
      <c r="D92" s="71">
        <v>9163.3</v>
      </c>
      <c r="E92" s="48">
        <f>$D:$D/$B:$B*100</f>
        <v>32.87211755083298</v>
      </c>
      <c r="F92" s="48">
        <v>0</v>
      </c>
      <c r="G92" s="36">
        <v>8585.1</v>
      </c>
      <c r="H92" s="48">
        <f>$D:$D/$G:$G*100</f>
        <v>106.73492446214952</v>
      </c>
      <c r="I92" s="82">
        <f>D92-Апрель!D92</f>
        <v>2290.7999999999993</v>
      </c>
    </row>
    <row r="93" spans="1:9" ht="12.75">
      <c r="A93" s="10" t="s">
        <v>77</v>
      </c>
      <c r="B93" s="85">
        <v>522815.1</v>
      </c>
      <c r="C93" s="71">
        <v>10332.7</v>
      </c>
      <c r="D93" s="71">
        <v>10332.7</v>
      </c>
      <c r="E93" s="48">
        <f>$D:$D/$B:$B*100</f>
        <v>1.9763583722046285</v>
      </c>
      <c r="F93" s="48">
        <f>$D:$D/$C:$C*100</f>
        <v>100</v>
      </c>
      <c r="G93" s="28">
        <v>15259.6</v>
      </c>
      <c r="H93" s="48">
        <f>$D:$D/$G:$G*100</f>
        <v>67.71278408346222</v>
      </c>
      <c r="I93" s="82">
        <f>D93-Апрель!D93</f>
        <v>338.3000000000011</v>
      </c>
    </row>
    <row r="94" spans="1:9" ht="12.75">
      <c r="A94" s="8" t="s">
        <v>35</v>
      </c>
      <c r="B94" s="82">
        <v>41426</v>
      </c>
      <c r="C94" s="71">
        <v>5038.6</v>
      </c>
      <c r="D94" s="71">
        <v>4330.9</v>
      </c>
      <c r="E94" s="48">
        <f>$D:$D/$B:$B*100</f>
        <v>10.454545454545453</v>
      </c>
      <c r="F94" s="48">
        <f>$D:$D/$C:$C*100</f>
        <v>85.95443178660737</v>
      </c>
      <c r="G94" s="36">
        <v>4071.1</v>
      </c>
      <c r="H94" s="48">
        <f>$D:$D/$G:$G*100</f>
        <v>106.38156763528283</v>
      </c>
      <c r="I94" s="82">
        <f>D94-Апрель!D94</f>
        <v>504.99999999999955</v>
      </c>
    </row>
    <row r="95" spans="1:9" ht="12.75">
      <c r="A95" s="7" t="s">
        <v>36</v>
      </c>
      <c r="B95" s="30">
        <f>B97+B98+B99+B96</f>
        <v>731319.2000000001</v>
      </c>
      <c r="C95" s="87">
        <f>C97+C98+C99+C96</f>
        <v>43125.5</v>
      </c>
      <c r="D95" s="30">
        <f>D97+D98+D99+D96</f>
        <v>41653.4</v>
      </c>
      <c r="E95" s="30">
        <f>E98+E99+E96</f>
        <v>18.015729665102942</v>
      </c>
      <c r="F95" s="86">
        <f>$D:$D/$C:$C*100</f>
        <v>96.58647435971757</v>
      </c>
      <c r="G95" s="35">
        <f>G97+G98+G99+G96</f>
        <v>34361.6</v>
      </c>
      <c r="H95" s="30">
        <f>H97+H98+H99</f>
        <v>439.0076152416535</v>
      </c>
      <c r="I95" s="30">
        <f>D95-Апрель!D95</f>
        <v>23125.600000000002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49">
        <v>11082.1</v>
      </c>
      <c r="H96" s="48">
        <f>$D:$D/$G:$G*100</f>
        <v>0</v>
      </c>
      <c r="I96" s="82">
        <f>D96-Апрель!D96</f>
        <v>0</v>
      </c>
    </row>
    <row r="97" spans="1:9" ht="12.75">
      <c r="A97" s="8" t="s">
        <v>38</v>
      </c>
      <c r="B97" s="82">
        <v>37626.2</v>
      </c>
      <c r="C97" s="71">
        <v>123.2</v>
      </c>
      <c r="D97" s="71">
        <v>123.2</v>
      </c>
      <c r="E97" s="48">
        <f aca="true" t="shared" si="6" ref="E97:E102">$D:$D/$B:$B*100</f>
        <v>0.32743141746974186</v>
      </c>
      <c r="F97" s="48">
        <v>0</v>
      </c>
      <c r="G97" s="36">
        <v>305.3</v>
      </c>
      <c r="H97" s="48">
        <f>$D:$D/$G:$G*100</f>
        <v>40.353750409433346</v>
      </c>
      <c r="I97" s="82">
        <f>D97-Апрель!D97</f>
        <v>60</v>
      </c>
    </row>
    <row r="98" spans="1:9" ht="12.75">
      <c r="A98" s="8" t="s">
        <v>39</v>
      </c>
      <c r="B98" s="82">
        <v>472996.1</v>
      </c>
      <c r="C98" s="71">
        <v>14490.8</v>
      </c>
      <c r="D98" s="71">
        <v>14461.6</v>
      </c>
      <c r="E98" s="48">
        <f t="shared" si="6"/>
        <v>3.0574459282010995</v>
      </c>
      <c r="F98" s="48">
        <f>$D:$D/$C:$C*100</f>
        <v>99.79849283683441</v>
      </c>
      <c r="G98" s="36">
        <v>13751.1</v>
      </c>
      <c r="H98" s="48">
        <f>$D:$D/$G:$G*100</f>
        <v>105.16685937852243</v>
      </c>
      <c r="I98" s="82">
        <f>D98-Апрель!D98</f>
        <v>4345.800000000001</v>
      </c>
    </row>
    <row r="99" spans="2:9" ht="12.75">
      <c r="B99" s="82">
        <v>180960.6</v>
      </c>
      <c r="C99" s="71">
        <v>28511.5</v>
      </c>
      <c r="D99" s="71">
        <v>27068.6</v>
      </c>
      <c r="E99" s="48">
        <f t="shared" si="6"/>
        <v>14.958283736901842</v>
      </c>
      <c r="F99" s="48">
        <f>$D:$D/$C:$C*100</f>
        <v>94.93923504550796</v>
      </c>
      <c r="G99" s="36">
        <v>9223.1</v>
      </c>
      <c r="H99" s="48">
        <f>$D:$D/$G:$G*100</f>
        <v>293.48700545369775</v>
      </c>
      <c r="I99" s="82">
        <f>D99-Апрель!D99</f>
        <v>18719.8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 t="shared" si="6"/>
        <v>2.940585533869116</v>
      </c>
      <c r="F100" s="86"/>
      <c r="G100" s="35">
        <v>136.6</v>
      </c>
      <c r="H100" s="30">
        <f>H101</f>
        <v>300</v>
      </c>
      <c r="I100" s="30">
        <f>D100-Апрель!D100</f>
        <v>101.69999999999999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 t="shared" si="6"/>
        <v>21.008920332205477</v>
      </c>
      <c r="F101" s="48"/>
      <c r="G101" s="36">
        <v>136.6</v>
      </c>
      <c r="H101" s="48">
        <f>$D:$D/$G:$G*100</f>
        <v>300</v>
      </c>
      <c r="I101" s="82">
        <f>D101-Апрель!D101</f>
        <v>101.69999999999999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 t="shared" si="6"/>
        <v>0</v>
      </c>
      <c r="F102" s="48"/>
      <c r="G102" s="36">
        <v>0</v>
      </c>
      <c r="H102" s="48">
        <v>0</v>
      </c>
      <c r="I102" s="82">
        <f>D102</f>
        <v>0</v>
      </c>
    </row>
    <row r="103" spans="1:9" ht="12.75">
      <c r="A103" s="11" t="s">
        <v>41</v>
      </c>
      <c r="B103" s="30">
        <f>B104+B105+B107+B108+B109+B106</f>
        <v>1664512.4</v>
      </c>
      <c r="C103" s="30">
        <f>C104+C105+C107+C108+C109+C106</f>
        <v>638228</v>
      </c>
      <c r="D103" s="30">
        <f>D104+D105+D107+D108+D109+D106</f>
        <v>637975.7000000001</v>
      </c>
      <c r="E103" s="30">
        <f>E104+E105+E108+E109+E107</f>
        <v>145.00547966537485</v>
      </c>
      <c r="F103" s="30">
        <f>F104+F105+F108+F109+F107</f>
        <v>498.60934735174254</v>
      </c>
      <c r="G103" s="35">
        <f>G104+G105+G106+G108+G109+G107</f>
        <v>633124.2000000001</v>
      </c>
      <c r="H103" s="30">
        <f>H104+H105+H108+H109+H107</f>
        <v>472.70840388605075</v>
      </c>
      <c r="I103" s="30">
        <f>D103-Апрель!D102</f>
        <v>191164.30000000005</v>
      </c>
    </row>
    <row r="104" spans="1:9" ht="12.75">
      <c r="A104" s="8" t="s">
        <v>42</v>
      </c>
      <c r="B104" s="82">
        <v>618513.4</v>
      </c>
      <c r="C104" s="71">
        <v>255680.9</v>
      </c>
      <c r="D104" s="71">
        <v>255680.9</v>
      </c>
      <c r="E104" s="48">
        <f aca="true" t="shared" si="7" ref="E104:E122">$D:$D/$B:$B*100</f>
        <v>41.33797262921062</v>
      </c>
      <c r="F104" s="48">
        <f aca="true" t="shared" si="8" ref="F104:F112">$D:$D/$C:$C*100</f>
        <v>100</v>
      </c>
      <c r="G104" s="36">
        <v>247436.7</v>
      </c>
      <c r="H104" s="48">
        <f aca="true" t="shared" si="9" ref="H104:H112">$D:$D/$G:$G*100</f>
        <v>103.33184204283357</v>
      </c>
      <c r="I104" s="82">
        <f>D104-Апрель!D103</f>
        <v>79573.4</v>
      </c>
    </row>
    <row r="105" spans="1:9" ht="12.75">
      <c r="A105" s="8" t="s">
        <v>43</v>
      </c>
      <c r="B105" s="82">
        <v>666537.6</v>
      </c>
      <c r="C105" s="71">
        <v>255585.6</v>
      </c>
      <c r="D105" s="71">
        <v>255535.7</v>
      </c>
      <c r="E105" s="48">
        <f t="shared" si="7"/>
        <v>38.3377771936647</v>
      </c>
      <c r="F105" s="48">
        <f t="shared" si="8"/>
        <v>99.98047620836229</v>
      </c>
      <c r="G105" s="36">
        <v>264402.8</v>
      </c>
      <c r="H105" s="48">
        <f t="shared" si="9"/>
        <v>96.6463668312136</v>
      </c>
      <c r="I105" s="82">
        <f>D105-Апрель!D104</f>
        <v>82202.6</v>
      </c>
    </row>
    <row r="106" spans="1:9" ht="12.75">
      <c r="A106" s="22" t="s">
        <v>105</v>
      </c>
      <c r="B106" s="82">
        <v>145060.2</v>
      </c>
      <c r="C106" s="71">
        <v>52886.3</v>
      </c>
      <c r="D106" s="71">
        <v>52886.3</v>
      </c>
      <c r="E106" s="48">
        <f t="shared" si="7"/>
        <v>36.458173916760074</v>
      </c>
      <c r="F106" s="48">
        <f t="shared" si="8"/>
        <v>100</v>
      </c>
      <c r="G106" s="36">
        <v>52847.3</v>
      </c>
      <c r="H106" s="48">
        <f t="shared" si="9"/>
        <v>100.07379752607986</v>
      </c>
      <c r="I106" s="82">
        <f>D106-Апрель!D105</f>
        <v>12690.600000000006</v>
      </c>
    </row>
    <row r="107" spans="1:9" ht="25.5">
      <c r="A107" s="8" t="s">
        <v>123</v>
      </c>
      <c r="B107" s="82">
        <v>1689.9</v>
      </c>
      <c r="C107" s="71">
        <v>198.5</v>
      </c>
      <c r="D107" s="71">
        <v>196.4</v>
      </c>
      <c r="E107" s="48">
        <f t="shared" si="7"/>
        <v>11.621989466832357</v>
      </c>
      <c r="F107" s="48">
        <f t="shared" si="8"/>
        <v>98.94206549118388</v>
      </c>
      <c r="G107" s="36">
        <v>316.1</v>
      </c>
      <c r="H107" s="48">
        <f t="shared" si="9"/>
        <v>62.13223663397659</v>
      </c>
      <c r="I107" s="82">
        <f>D107-Апрель!D106</f>
        <v>64.70000000000002</v>
      </c>
    </row>
    <row r="108" spans="1:9" ht="12.75">
      <c r="A108" s="8" t="s">
        <v>44</v>
      </c>
      <c r="B108" s="82">
        <v>56838.3</v>
      </c>
      <c r="C108" s="71">
        <v>9922.8</v>
      </c>
      <c r="D108" s="71">
        <v>9922.8</v>
      </c>
      <c r="E108" s="48">
        <f t="shared" si="7"/>
        <v>17.45794649030671</v>
      </c>
      <c r="F108" s="48">
        <f t="shared" si="8"/>
        <v>100</v>
      </c>
      <c r="G108" s="36">
        <v>9796.4</v>
      </c>
      <c r="H108" s="48">
        <f t="shared" si="9"/>
        <v>101.29026989506349</v>
      </c>
      <c r="I108" s="82">
        <f>D108-Апрель!D107</f>
        <v>1857.7999999999993</v>
      </c>
    </row>
    <row r="109" spans="1:9" ht="12.75">
      <c r="A109" s="8" t="s">
        <v>45</v>
      </c>
      <c r="B109" s="82">
        <v>175873</v>
      </c>
      <c r="C109" s="71">
        <v>63953.9</v>
      </c>
      <c r="D109" s="71">
        <v>63753.6</v>
      </c>
      <c r="E109" s="48">
        <f t="shared" si="7"/>
        <v>36.24979388536046</v>
      </c>
      <c r="F109" s="48">
        <f t="shared" si="8"/>
        <v>99.68680565219634</v>
      </c>
      <c r="G109" s="28">
        <v>58324.9</v>
      </c>
      <c r="H109" s="48">
        <f t="shared" si="9"/>
        <v>109.30768848296353</v>
      </c>
      <c r="I109" s="82">
        <f>D109-Апрель!D108</f>
        <v>14775.199999999997</v>
      </c>
    </row>
    <row r="110" spans="1:9" ht="25.5">
      <c r="A110" s="11" t="s">
        <v>46</v>
      </c>
      <c r="B110" s="30">
        <f>B111+B112</f>
        <v>330779.9</v>
      </c>
      <c r="C110" s="30">
        <f>C111+C112</f>
        <v>57682.299999999996</v>
      </c>
      <c r="D110" s="30">
        <f>D111+D112</f>
        <v>57681.6</v>
      </c>
      <c r="E110" s="86">
        <f t="shared" si="7"/>
        <v>17.43806077696982</v>
      </c>
      <c r="F110" s="86">
        <f t="shared" si="8"/>
        <v>99.99878645615726</v>
      </c>
      <c r="G110" s="35">
        <f>G111+G112</f>
        <v>53867</v>
      </c>
      <c r="H110" s="86">
        <f t="shared" si="9"/>
        <v>107.08151558468077</v>
      </c>
      <c r="I110" s="30">
        <f>D110-Апрель!D109</f>
        <v>14926.700000000004</v>
      </c>
    </row>
    <row r="111" spans="1:9" ht="12.75">
      <c r="A111" s="8" t="s">
        <v>47</v>
      </c>
      <c r="B111" s="82">
        <v>245920.6</v>
      </c>
      <c r="C111" s="71">
        <v>56479.1</v>
      </c>
      <c r="D111" s="71">
        <v>56479.1</v>
      </c>
      <c r="E111" s="48">
        <f t="shared" si="7"/>
        <v>22.966396471056104</v>
      </c>
      <c r="F111" s="48">
        <f t="shared" si="8"/>
        <v>100</v>
      </c>
      <c r="G111" s="36">
        <v>52499.4</v>
      </c>
      <c r="H111" s="48">
        <f t="shared" si="9"/>
        <v>107.58046758629622</v>
      </c>
      <c r="I111" s="82">
        <f>D111-Апрель!D110</f>
        <v>14548.900000000001</v>
      </c>
    </row>
    <row r="112" spans="1:9" ht="25.5">
      <c r="A112" s="8" t="s">
        <v>48</v>
      </c>
      <c r="B112" s="82">
        <v>84859.3</v>
      </c>
      <c r="C112" s="71">
        <v>1203.2</v>
      </c>
      <c r="D112" s="71">
        <v>1202.5</v>
      </c>
      <c r="E112" s="48">
        <f t="shared" si="7"/>
        <v>1.4170515193974025</v>
      </c>
      <c r="F112" s="48">
        <f t="shared" si="8"/>
        <v>99.94182180851064</v>
      </c>
      <c r="G112" s="36">
        <v>1367.6</v>
      </c>
      <c r="H112" s="48">
        <f t="shared" si="9"/>
        <v>87.9277566539924</v>
      </c>
      <c r="I112" s="82">
        <f>D112-Апрель!D111</f>
        <v>377.79999999999995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 t="shared" si="7"/>
        <v>80.74565883554646</v>
      </c>
      <c r="F113" s="86">
        <v>0</v>
      </c>
      <c r="G113" s="35">
        <f>G114</f>
        <v>4.6</v>
      </c>
      <c r="H113" s="48">
        <v>0</v>
      </c>
      <c r="I113" s="82">
        <f>D113-Апрель!D112</f>
        <v>158.1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 t="shared" si="7"/>
        <v>80.74565883554646</v>
      </c>
      <c r="F114" s="48">
        <v>0</v>
      </c>
      <c r="G114" s="36">
        <v>4.6</v>
      </c>
      <c r="H114" s="48">
        <v>0</v>
      </c>
      <c r="I114" s="82">
        <f>D114-Апрель!D113</f>
        <v>158.1</v>
      </c>
    </row>
    <row r="115" spans="1:9" ht="12.75">
      <c r="A115" s="11" t="s">
        <v>49</v>
      </c>
      <c r="B115" s="30">
        <f>B116+B117+B118+B119+B120</f>
        <v>182041.25</v>
      </c>
      <c r="C115" s="30">
        <f>C116+C117+C118+C119+C120</f>
        <v>38577.200000000004</v>
      </c>
      <c r="D115" s="30">
        <f>D116+D117+D118+D119+D120</f>
        <v>36265.4</v>
      </c>
      <c r="E115" s="86">
        <f t="shared" si="7"/>
        <v>19.921528774384928</v>
      </c>
      <c r="F115" s="86">
        <f>$D:$D/$C:$C*100</f>
        <v>94.00734112377258</v>
      </c>
      <c r="G115" s="35">
        <f>G116+G117+G118+G119+G120</f>
        <v>34058.9</v>
      </c>
      <c r="H115" s="86">
        <f aca="true" t="shared" si="10" ref="H115:H124">$D:$D/$G:$G*100</f>
        <v>106.47848286350998</v>
      </c>
      <c r="I115" s="30">
        <f>D115-Апрель!D114</f>
        <v>6753.4000000000015</v>
      </c>
    </row>
    <row r="116" spans="1:9" ht="12.75">
      <c r="A116" s="8" t="s">
        <v>50</v>
      </c>
      <c r="B116" s="82">
        <f>2909750/1000</f>
        <v>2909.75</v>
      </c>
      <c r="C116" s="71">
        <v>866.9</v>
      </c>
      <c r="D116" s="71">
        <v>866.9</v>
      </c>
      <c r="E116" s="48">
        <f t="shared" si="7"/>
        <v>29.792937537589136</v>
      </c>
      <c r="F116" s="48">
        <v>0</v>
      </c>
      <c r="G116" s="36">
        <v>939.2</v>
      </c>
      <c r="H116" s="48">
        <f t="shared" si="10"/>
        <v>92.30195911413969</v>
      </c>
      <c r="I116" s="82">
        <f>D116-Апрель!D115</f>
        <v>219.69999999999993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 t="shared" si="7"/>
        <v>#DIV/0!</v>
      </c>
      <c r="F117" s="48" t="e">
        <f>$D:$D/$C:$C*100</f>
        <v>#DIV/0!</v>
      </c>
      <c r="G117" s="36">
        <v>0</v>
      </c>
      <c r="H117" s="48" t="e">
        <f t="shared" si="10"/>
        <v>#DIV/0!</v>
      </c>
      <c r="I117" s="82">
        <f>D117-Апрель!D116</f>
        <v>0</v>
      </c>
    </row>
    <row r="118" spans="1:9" ht="12.75">
      <c r="A118" s="8" t="s">
        <v>52</v>
      </c>
      <c r="B118" s="85">
        <v>90352</v>
      </c>
      <c r="C118" s="71">
        <v>31122.3</v>
      </c>
      <c r="D118" s="71">
        <v>31122.3</v>
      </c>
      <c r="E118" s="48">
        <f t="shared" si="7"/>
        <v>34.44561271471578</v>
      </c>
      <c r="F118" s="48">
        <v>0</v>
      </c>
      <c r="G118" s="36">
        <v>30540.4</v>
      </c>
      <c r="H118" s="48">
        <f t="shared" si="10"/>
        <v>101.90534505114537</v>
      </c>
      <c r="I118" s="82">
        <f>D118-Апрель!D117</f>
        <v>5953.5</v>
      </c>
    </row>
    <row r="119" spans="1:9" ht="12.75">
      <c r="A119" s="8" t="s">
        <v>53</v>
      </c>
      <c r="B119" s="82">
        <v>86445.4</v>
      </c>
      <c r="C119" s="71">
        <v>5790.2</v>
      </c>
      <c r="D119" s="71">
        <v>3544.2</v>
      </c>
      <c r="E119" s="48">
        <f t="shared" si="7"/>
        <v>4.099928972507502</v>
      </c>
      <c r="F119" s="48">
        <f>$D:$D/$C:$C*100</f>
        <v>61.21032088701599</v>
      </c>
      <c r="G119" s="28">
        <v>1808.7</v>
      </c>
      <c r="H119" s="48">
        <f t="shared" si="10"/>
        <v>195.95289434400397</v>
      </c>
      <c r="I119" s="82">
        <f>D119-Апрель!D118</f>
        <v>440.6999999999998</v>
      </c>
    </row>
    <row r="120" spans="1:9" ht="12.75">
      <c r="A120" s="8" t="s">
        <v>54</v>
      </c>
      <c r="B120" s="82">
        <v>2334.1</v>
      </c>
      <c r="C120" s="71">
        <v>797.8</v>
      </c>
      <c r="D120" s="71">
        <v>732</v>
      </c>
      <c r="E120" s="48">
        <f t="shared" si="7"/>
        <v>31.3611242020479</v>
      </c>
      <c r="F120" s="48"/>
      <c r="G120" s="36">
        <v>770.6</v>
      </c>
      <c r="H120" s="48">
        <f t="shared" si="10"/>
        <v>94.99091616921879</v>
      </c>
      <c r="I120" s="82">
        <f>D120-Апрель!D119</f>
        <v>139.5</v>
      </c>
    </row>
    <row r="121" spans="1:9" ht="12.75">
      <c r="A121" s="11" t="s">
        <v>61</v>
      </c>
      <c r="B121" s="87">
        <f>B122+B123+B124</f>
        <v>222423.5</v>
      </c>
      <c r="C121" s="87">
        <f>C122+C123+C124</f>
        <v>95787.49999999999</v>
      </c>
      <c r="D121" s="87">
        <f>D122+D123+D124</f>
        <v>95665.4</v>
      </c>
      <c r="E121" s="86">
        <f t="shared" si="7"/>
        <v>43.01047326384128</v>
      </c>
      <c r="F121" s="86">
        <f>$D:$D/$C:$C*100</f>
        <v>99.87253034059769</v>
      </c>
      <c r="G121" s="27">
        <f>G122+G123+G124</f>
        <v>31191.300000000003</v>
      </c>
      <c r="H121" s="86">
        <f t="shared" si="10"/>
        <v>306.705395414747</v>
      </c>
      <c r="I121" s="30">
        <f>D121-Апрель!D120</f>
        <v>10233.099999999991</v>
      </c>
    </row>
    <row r="122" spans="1:9" ht="12.75">
      <c r="A122" s="41" t="s">
        <v>62</v>
      </c>
      <c r="B122" s="85">
        <v>100991.9</v>
      </c>
      <c r="C122" s="71">
        <v>32831.2</v>
      </c>
      <c r="D122" s="71">
        <v>32831.2</v>
      </c>
      <c r="E122" s="48">
        <f t="shared" si="7"/>
        <v>32.50874575089686</v>
      </c>
      <c r="F122" s="48">
        <f>$D:$D/$C:$C*100</f>
        <v>100</v>
      </c>
      <c r="G122" s="28">
        <v>27746.4</v>
      </c>
      <c r="H122" s="48">
        <f t="shared" si="10"/>
        <v>118.32598102816941</v>
      </c>
      <c r="I122" s="82">
        <f>D122-Апрель!D121</f>
        <v>9575.999999999996</v>
      </c>
    </row>
    <row r="123" spans="1:9" ht="24.75" customHeight="1">
      <c r="A123" s="12" t="s">
        <v>63</v>
      </c>
      <c r="B123" s="85">
        <v>117139.6</v>
      </c>
      <c r="C123" s="71">
        <v>61202.1</v>
      </c>
      <c r="D123" s="71">
        <v>61202.1</v>
      </c>
      <c r="E123" s="48">
        <v>0</v>
      </c>
      <c r="F123" s="48">
        <v>0</v>
      </c>
      <c r="G123" s="28">
        <v>1864</v>
      </c>
      <c r="H123" s="48">
        <f t="shared" si="10"/>
        <v>3283.3744635193134</v>
      </c>
      <c r="I123" s="82">
        <f>D123-Апрель!D122</f>
        <v>393.1999999999971</v>
      </c>
    </row>
    <row r="124" spans="1:9" ht="25.5">
      <c r="A124" s="12" t="s">
        <v>73</v>
      </c>
      <c r="B124" s="85">
        <v>4292</v>
      </c>
      <c r="C124" s="71">
        <v>1754.2</v>
      </c>
      <c r="D124" s="71">
        <v>1632.1</v>
      </c>
      <c r="E124" s="48">
        <f>$D:$D/$B:$B*100</f>
        <v>38.02656104380242</v>
      </c>
      <c r="F124" s="48">
        <f>$D:$D/$C:$C*100</f>
        <v>93.03956219359252</v>
      </c>
      <c r="G124" s="28">
        <v>1580.9</v>
      </c>
      <c r="H124" s="48">
        <f t="shared" si="10"/>
        <v>103.23866152191788</v>
      </c>
      <c r="I124" s="82">
        <f>D124-Апрель!D123</f>
        <v>263.89999999999986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D125-Апрель!D124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D126-Апрель!D125</f>
        <v>0</v>
      </c>
    </row>
    <row r="127" spans="1:9" ht="15.75" customHeight="1">
      <c r="A127" s="14" t="s">
        <v>55</v>
      </c>
      <c r="B127" s="30">
        <f>B78+B87+B88+B89+B95+B103+B110+B113+B115+B121+B125+B100</f>
        <v>4148082.7499999995</v>
      </c>
      <c r="C127" s="30">
        <f>C78+C87+C88+C89+C95+C103+C110+C113+C115+C121+C125+C100</f>
        <v>955074.41384</v>
      </c>
      <c r="D127" s="30">
        <f>D78+D87+D88+D89+D95+D103+D110+D113+D115+D121+D125+D100</f>
        <v>946922.6138400001</v>
      </c>
      <c r="E127" s="86">
        <f>$D:$D/$B:$B*100</f>
        <v>22.82795862353518</v>
      </c>
      <c r="F127" s="86">
        <f>$D:$D/$C:$C*100</f>
        <v>99.1464748838549</v>
      </c>
      <c r="G127" s="75">
        <f>G78+G87+G88+G89+G95+G103+G110+G113+G115+G121+G125+G100</f>
        <v>866606.9000000001</v>
      </c>
      <c r="H127" s="86">
        <f>$D:$D/$G:$G*100</f>
        <v>109.26783687505835</v>
      </c>
      <c r="I127" s="30">
        <f>D127-Апрель!D126</f>
        <v>259274.69999999995</v>
      </c>
    </row>
    <row r="128" spans="1:9" ht="26.25" customHeight="1">
      <c r="A128" s="15" t="s">
        <v>56</v>
      </c>
      <c r="B128" s="30">
        <f>B72-B127</f>
        <v>-95281.82999999961</v>
      </c>
      <c r="C128" s="30">
        <f>C72-C127</f>
        <v>164839.46615999984</v>
      </c>
      <c r="D128" s="30">
        <f>D72-D127</f>
        <v>42400.58615999983</v>
      </c>
      <c r="E128" s="30"/>
      <c r="F128" s="30"/>
      <c r="G128" s="75">
        <f>G76-G127</f>
        <v>-866606.9000000001</v>
      </c>
      <c r="H128" s="30"/>
      <c r="I128" s="30">
        <f>D128-Апрель!D127</f>
        <v>-20025.399999999907</v>
      </c>
    </row>
    <row r="129" spans="1:9" ht="24" customHeight="1">
      <c r="A129" s="1" t="s">
        <v>57</v>
      </c>
      <c r="B129" s="85" t="s">
        <v>165</v>
      </c>
      <c r="C129" s="85"/>
      <c r="D129" s="85" t="s">
        <v>170</v>
      </c>
      <c r="E129" s="85"/>
      <c r="F129" s="85"/>
      <c r="G129" s="28" t="s">
        <v>168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73222.4</v>
      </c>
      <c r="E130" s="85"/>
      <c r="F130" s="85"/>
      <c r="G130" s="27">
        <f>G132+G133</f>
        <v>46170.9</v>
      </c>
      <c r="H130" s="85"/>
      <c r="I130" s="82">
        <f>D130-Апрель!D129</f>
        <v>-20025.100000000006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9">
        <f>Март!B130</f>
        <v>24892.3</v>
      </c>
      <c r="C132" s="85"/>
      <c r="D132" s="85">
        <v>42776.3</v>
      </c>
      <c r="E132" s="85"/>
      <c r="F132" s="85"/>
      <c r="G132" s="28">
        <v>20046.2</v>
      </c>
      <c r="H132" s="85"/>
      <c r="I132" s="82">
        <f>D132-Апрель!D131</f>
        <v>-17295.199999999997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30446.1</v>
      </c>
      <c r="E133" s="85"/>
      <c r="F133" s="85"/>
      <c r="G133" s="28">
        <f>46170.9-G132</f>
        <v>26124.7</v>
      </c>
      <c r="H133" s="85"/>
      <c r="I133" s="82">
        <f>D133-Апрель!D132</f>
        <v>-2729.9000000000015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0">
        <v>0</v>
      </c>
      <c r="H134" s="90"/>
      <c r="I134" s="82">
        <f>D134-Апрель!D133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38">
        <v>0</v>
      </c>
      <c r="H135" s="91"/>
      <c r="I135" s="82"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38">
        <v>0</v>
      </c>
      <c r="H136" s="91"/>
      <c r="I136" s="82">
        <f>D136-Апрель!D135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5" sqref="I9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171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0">
        <f>B8+B16+B21+B26+B29+B36++B45+B46+B47+B51+B62</f>
        <v>731115.3899999999</v>
      </c>
      <c r="C7" s="30">
        <f>C8+C16+C21+C26+C29</f>
        <v>303356.48000000004</v>
      </c>
      <c r="D7" s="30">
        <f>D8+D16+D21+D26+D29+D36+D45+D46+D47+D51+D62</f>
        <v>332804.8</v>
      </c>
      <c r="E7" s="86">
        <f aca="true" t="shared" si="0" ref="E7:E22">$D:$D/$B:$B*100</f>
        <v>45.520146963395206</v>
      </c>
      <c r="F7" s="86">
        <v>27699.089999999997</v>
      </c>
      <c r="G7" s="35">
        <f>G8+G16+G21+G26+G29+G33+G36+G45+G46+G47+G51+G62</f>
        <v>270620.09</v>
      </c>
      <c r="H7" s="86">
        <f aca="true" t="shared" si="1" ref="H7:H48">$D:$D/$G:$G*100</f>
        <v>122.97860073876996</v>
      </c>
      <c r="I7" s="30">
        <f>D7-май!D7</f>
        <v>61848.29999999993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189077.58000000002</v>
      </c>
      <c r="D8" s="86">
        <f>D9+D10-0.1</f>
        <v>179512.59999999998</v>
      </c>
      <c r="E8" s="86">
        <f t="shared" si="0"/>
        <v>47.092942876728245</v>
      </c>
      <c r="F8" s="86">
        <v>10645.39</v>
      </c>
      <c r="G8" s="26">
        <f>G9+G10</f>
        <v>134140.16999999998</v>
      </c>
      <c r="H8" s="86">
        <f t="shared" si="1"/>
        <v>133.82464029977</v>
      </c>
      <c r="I8" s="30">
        <f>D8-май!D8</f>
        <v>31733.79999999999</v>
      </c>
    </row>
    <row r="9" spans="1:9" ht="25.5">
      <c r="A9" s="53" t="s">
        <v>5</v>
      </c>
      <c r="B9" s="87">
        <v>8446.3</v>
      </c>
      <c r="C9" s="87">
        <v>4200</v>
      </c>
      <c r="D9" s="87">
        <v>1463.5</v>
      </c>
      <c r="E9" s="86">
        <f t="shared" si="0"/>
        <v>17.327113647395905</v>
      </c>
      <c r="F9" s="86">
        <v>200.86</v>
      </c>
      <c r="G9" s="28">
        <v>5681.129999999999</v>
      </c>
      <c r="H9" s="86">
        <f t="shared" si="1"/>
        <v>25.76072013842317</v>
      </c>
      <c r="I9" s="30">
        <f>D9-май!D9</f>
        <v>27.90000000000009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184877.58000000002</v>
      </c>
      <c r="D10" s="92">
        <f>SUM(D11:D15)</f>
        <v>178049.19999999998</v>
      </c>
      <c r="E10" s="86">
        <f t="shared" si="0"/>
        <v>47.76746142636078</v>
      </c>
      <c r="F10" s="86">
        <v>10444.529999999999</v>
      </c>
      <c r="G10" s="46">
        <f>SUM(G11:G15)</f>
        <v>128459.04</v>
      </c>
      <c r="H10" s="86">
        <f t="shared" si="1"/>
        <v>138.60386937345942</v>
      </c>
      <c r="I10" s="30">
        <f>D10-май!D10</f>
        <v>31705.899999999994</v>
      </c>
    </row>
    <row r="11" spans="1:9" ht="51">
      <c r="A11" s="56" t="s">
        <v>74</v>
      </c>
      <c r="B11" s="85">
        <v>313856.6</v>
      </c>
      <c r="C11" s="85">
        <v>133444.2</v>
      </c>
      <c r="D11" s="85">
        <v>124016.2</v>
      </c>
      <c r="E11" s="86">
        <f t="shared" si="0"/>
        <v>39.513650501534784</v>
      </c>
      <c r="F11" s="86">
        <v>10058</v>
      </c>
      <c r="G11" s="28">
        <v>122910.23999999999</v>
      </c>
      <c r="H11" s="48">
        <f t="shared" si="1"/>
        <v>100.89981111419195</v>
      </c>
      <c r="I11" s="30">
        <f>D11-май!D11</f>
        <v>30149.699999999997</v>
      </c>
    </row>
    <row r="12" spans="1:9" ht="94.5" customHeight="1">
      <c r="A12" s="56" t="s">
        <v>75</v>
      </c>
      <c r="B12" s="85">
        <v>6481.5</v>
      </c>
      <c r="C12" s="85">
        <v>2681.1</v>
      </c>
      <c r="D12" s="85">
        <v>146.8</v>
      </c>
      <c r="E12" s="86">
        <f t="shared" si="0"/>
        <v>2.2649078145491015</v>
      </c>
      <c r="F12" s="86">
        <v>81.56</v>
      </c>
      <c r="G12" s="28">
        <v>2690.2400000000002</v>
      </c>
      <c r="H12" s="48">
        <f t="shared" si="1"/>
        <v>5.456762221957892</v>
      </c>
      <c r="I12" s="30">
        <f>D12-май!D12</f>
        <v>116.20000000000002</v>
      </c>
    </row>
    <row r="13" spans="1:9" ht="25.5">
      <c r="A13" s="56" t="s">
        <v>76</v>
      </c>
      <c r="B13" s="85">
        <v>3576.4</v>
      </c>
      <c r="C13" s="85">
        <v>1472</v>
      </c>
      <c r="D13" s="85">
        <v>2916.4</v>
      </c>
      <c r="E13" s="86">
        <f t="shared" si="0"/>
        <v>81.54568840174477</v>
      </c>
      <c r="F13" s="86">
        <v>117.15</v>
      </c>
      <c r="G13" s="28">
        <v>1463.05</v>
      </c>
      <c r="H13" s="48">
        <f t="shared" si="1"/>
        <v>199.33700146953285</v>
      </c>
      <c r="I13" s="30">
        <f>D13-май!D13</f>
        <v>931</v>
      </c>
    </row>
    <row r="14" spans="1:9" ht="63.75">
      <c r="A14" s="56" t="s">
        <v>78</v>
      </c>
      <c r="B14" s="85">
        <f>2580100/1000</f>
        <v>2580.1</v>
      </c>
      <c r="C14" s="85">
        <v>1033.3</v>
      </c>
      <c r="D14" s="85">
        <v>1895.2</v>
      </c>
      <c r="E14" s="86">
        <f t="shared" si="0"/>
        <v>73.45451726677261</v>
      </c>
      <c r="F14" s="86">
        <v>187.82</v>
      </c>
      <c r="G14" s="28">
        <v>986.8299999999999</v>
      </c>
      <c r="H14" s="48">
        <f t="shared" si="1"/>
        <v>192.0492891379468</v>
      </c>
      <c r="I14" s="30">
        <f>D14-май!D14</f>
        <v>408.60000000000014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49074.6</v>
      </c>
      <c r="E15" s="86">
        <f t="shared" si="0"/>
        <v>106.11412632170736</v>
      </c>
      <c r="F15" s="86"/>
      <c r="G15" s="28">
        <v>408.68</v>
      </c>
      <c r="H15" s="48">
        <f t="shared" si="1"/>
        <v>12008.074777331898</v>
      </c>
      <c r="I15" s="30">
        <f>D15-май!D15</f>
        <v>100.40000000000146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25825.2</v>
      </c>
      <c r="D16" s="87">
        <f>SUM(D17:D20)</f>
        <v>30104.7</v>
      </c>
      <c r="E16" s="86">
        <f t="shared" si="0"/>
        <v>54.156832409872635</v>
      </c>
      <c r="F16" s="86">
        <v>1853.18</v>
      </c>
      <c r="G16" s="35">
        <f>G17+G18+G19+G20</f>
        <v>11338.32</v>
      </c>
      <c r="H16" s="86">
        <f t="shared" si="1"/>
        <v>265.5128802150583</v>
      </c>
      <c r="I16" s="30">
        <f>D16-май!D16</f>
        <v>5267.100000000002</v>
      </c>
    </row>
    <row r="17" spans="1:9" ht="37.5" customHeight="1">
      <c r="A17" s="39" t="s">
        <v>83</v>
      </c>
      <c r="B17" s="82">
        <v>25133.1</v>
      </c>
      <c r="C17" s="82">
        <v>11386.2</v>
      </c>
      <c r="D17" s="82">
        <v>14818.2</v>
      </c>
      <c r="E17" s="86">
        <f t="shared" si="0"/>
        <v>58.9589028014849</v>
      </c>
      <c r="F17" s="86">
        <v>844.23</v>
      </c>
      <c r="G17" s="28">
        <v>5127.24</v>
      </c>
      <c r="H17" s="48">
        <f t="shared" si="1"/>
        <v>289.0092915486695</v>
      </c>
      <c r="I17" s="30">
        <f>D17-май!D17</f>
        <v>2656.9000000000015</v>
      </c>
    </row>
    <row r="18" spans="1:9" ht="56.25" customHeight="1">
      <c r="A18" s="39" t="s">
        <v>84</v>
      </c>
      <c r="B18" s="82">
        <v>139.1</v>
      </c>
      <c r="C18" s="82">
        <v>70</v>
      </c>
      <c r="D18" s="82">
        <v>87.2</v>
      </c>
      <c r="E18" s="86">
        <f t="shared" si="0"/>
        <v>62.68871315600288</v>
      </c>
      <c r="F18" s="86">
        <v>5.74</v>
      </c>
      <c r="G18" s="28">
        <v>38.629999999999995</v>
      </c>
      <c r="H18" s="48">
        <f t="shared" si="1"/>
        <v>225.73129691949268</v>
      </c>
      <c r="I18" s="30">
        <f>D18-май!D18</f>
        <v>11.900000000000006</v>
      </c>
    </row>
    <row r="19" spans="1:9" ht="55.5" customHeight="1">
      <c r="A19" s="39" t="s">
        <v>85</v>
      </c>
      <c r="B19" s="82">
        <f>33467400/1000</f>
        <v>33467.4</v>
      </c>
      <c r="C19" s="82">
        <v>16065.2</v>
      </c>
      <c r="D19" s="82">
        <v>17069.6</v>
      </c>
      <c r="E19" s="86">
        <f t="shared" si="0"/>
        <v>51.003663266342755</v>
      </c>
      <c r="F19" s="86">
        <v>1158.41</v>
      </c>
      <c r="G19" s="28">
        <v>7129.49</v>
      </c>
      <c r="H19" s="48">
        <f t="shared" si="1"/>
        <v>239.42245518262877</v>
      </c>
      <c r="I19" s="30">
        <f>D19-май!D19</f>
        <v>2976.2999999999993</v>
      </c>
    </row>
    <row r="20" spans="1:9" ht="15.75" customHeight="1">
      <c r="A20" s="39" t="s">
        <v>86</v>
      </c>
      <c r="B20" s="82">
        <v>-3151.6</v>
      </c>
      <c r="C20" s="82">
        <v>-1696.2</v>
      </c>
      <c r="D20" s="82">
        <v>-1870.3</v>
      </c>
      <c r="E20" s="86">
        <f t="shared" si="0"/>
        <v>59.34445995684732</v>
      </c>
      <c r="F20" s="86">
        <v>-155.2</v>
      </c>
      <c r="G20" s="28">
        <v>-957.0400000000001</v>
      </c>
      <c r="H20" s="48">
        <f t="shared" si="1"/>
        <v>195.4254785588899</v>
      </c>
      <c r="I20" s="30">
        <f>D20-май!D20</f>
        <v>-378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72341.9</v>
      </c>
      <c r="D21" s="87">
        <f>SUM(D22:D25)</f>
        <v>67884.3</v>
      </c>
      <c r="E21" s="86">
        <f t="shared" si="0"/>
        <v>50.57820759742655</v>
      </c>
      <c r="F21" s="86">
        <v>7362.96</v>
      </c>
      <c r="G21" s="35">
        <f>G22+G24+G25+G23</f>
        <v>70165.68000000001</v>
      </c>
      <c r="H21" s="86">
        <f t="shared" si="1"/>
        <v>96.7485813577236</v>
      </c>
      <c r="I21" s="30">
        <f>D21-май!D21</f>
        <v>9617.199999999997</v>
      </c>
    </row>
    <row r="22" spans="1:9" ht="28.5" customHeight="1">
      <c r="A22" s="56" t="s">
        <v>146</v>
      </c>
      <c r="B22" s="85">
        <v>110640.7</v>
      </c>
      <c r="C22" s="85">
        <v>56980</v>
      </c>
      <c r="D22" s="85">
        <v>53708.4</v>
      </c>
      <c r="E22" s="86">
        <f t="shared" si="0"/>
        <v>48.54307682435126</v>
      </c>
      <c r="F22" s="86"/>
      <c r="G22" s="28">
        <v>50042.88</v>
      </c>
      <c r="H22" s="48">
        <f t="shared" si="1"/>
        <v>107.32475828729282</v>
      </c>
      <c r="I22" s="30">
        <f>D22-май!D22</f>
        <v>7052.4000000000015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33.5</v>
      </c>
      <c r="E23" s="86">
        <v>0</v>
      </c>
      <c r="F23" s="86">
        <v>7198.75</v>
      </c>
      <c r="G23" s="28">
        <v>7163.39</v>
      </c>
      <c r="H23" s="48">
        <f t="shared" si="1"/>
        <v>0.4676556769909219</v>
      </c>
      <c r="I23" s="30">
        <f>D23-май!D23</f>
        <v>37.9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289.4</v>
      </c>
      <c r="E24" s="86">
        <f aca="true" t="shared" si="2" ref="E24:E47">$D:$D/$B:$B*100</f>
        <v>23.244979919678713</v>
      </c>
      <c r="F24" s="86">
        <v>113.58</v>
      </c>
      <c r="G24" s="28">
        <v>1069.23</v>
      </c>
      <c r="H24" s="48">
        <f t="shared" si="1"/>
        <v>27.06620652245073</v>
      </c>
      <c r="I24" s="30">
        <f>D24-май!D24</f>
        <v>-252.39999999999998</v>
      </c>
    </row>
    <row r="25" spans="1:9" ht="27" customHeight="1">
      <c r="A25" s="56" t="s">
        <v>88</v>
      </c>
      <c r="B25" s="85">
        <v>22330.8</v>
      </c>
      <c r="C25" s="85">
        <v>14116.9</v>
      </c>
      <c r="D25" s="85">
        <v>13853</v>
      </c>
      <c r="E25" s="86">
        <f t="shared" si="2"/>
        <v>62.03539505973812</v>
      </c>
      <c r="F25" s="86">
        <v>50.63</v>
      </c>
      <c r="G25" s="28">
        <v>11890.179999999998</v>
      </c>
      <c r="H25" s="48">
        <f t="shared" si="1"/>
        <v>116.50790820660413</v>
      </c>
      <c r="I25" s="30">
        <f>D25-май!D25</f>
        <v>2779.2999999999993</v>
      </c>
    </row>
    <row r="26" spans="1:9" ht="12.75">
      <c r="A26" s="59" t="s">
        <v>8</v>
      </c>
      <c r="B26" s="87">
        <f>SUM(B27:B28)</f>
        <v>42549</v>
      </c>
      <c r="C26" s="87">
        <f>SUM(C27:C28)</f>
        <v>8358.2</v>
      </c>
      <c r="D26" s="87">
        <f>SUM(D27:D28)</f>
        <v>8393</v>
      </c>
      <c r="E26" s="86">
        <f t="shared" si="2"/>
        <v>19.725492961056666</v>
      </c>
      <c r="F26" s="86">
        <v>2465.82</v>
      </c>
      <c r="G26" s="35">
        <f>SUM(G27:G28)</f>
        <v>7412.91</v>
      </c>
      <c r="H26" s="86">
        <f t="shared" si="1"/>
        <v>113.22139348784755</v>
      </c>
      <c r="I26" s="30">
        <f>D26-май!D26</f>
        <v>1059.8999999999996</v>
      </c>
    </row>
    <row r="27" spans="1:9" ht="12.75">
      <c r="A27" s="56" t="s">
        <v>106</v>
      </c>
      <c r="B27" s="82">
        <v>25216.9</v>
      </c>
      <c r="C27" s="82">
        <v>2809</v>
      </c>
      <c r="D27" s="82">
        <v>3171.2</v>
      </c>
      <c r="E27" s="86">
        <f t="shared" si="2"/>
        <v>12.575693285058827</v>
      </c>
      <c r="F27" s="86">
        <v>536.1</v>
      </c>
      <c r="G27" s="28">
        <v>2223.22</v>
      </c>
      <c r="H27" s="48">
        <f t="shared" si="1"/>
        <v>142.63995466035752</v>
      </c>
      <c r="I27" s="30">
        <f>D27-май!D27</f>
        <v>336.5999999999999</v>
      </c>
    </row>
    <row r="28" spans="1:9" ht="12.75">
      <c r="A28" s="56" t="s">
        <v>107</v>
      </c>
      <c r="B28" s="85">
        <f>17332100/1000</f>
        <v>17332.1</v>
      </c>
      <c r="C28" s="85">
        <v>5549.2</v>
      </c>
      <c r="D28" s="85">
        <v>5221.8</v>
      </c>
      <c r="E28" s="86">
        <f t="shared" si="2"/>
        <v>30.127912947652046</v>
      </c>
      <c r="F28" s="86">
        <v>1929.72</v>
      </c>
      <c r="G28" s="28">
        <v>5189.69</v>
      </c>
      <c r="H28" s="48">
        <f t="shared" si="1"/>
        <v>100.6187267447574</v>
      </c>
      <c r="I28" s="30">
        <f>D28-май!D28</f>
        <v>723.3000000000002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7753.6</v>
      </c>
      <c r="D29" s="87">
        <f>SUM(D30:D32)</f>
        <v>7816.099999999999</v>
      </c>
      <c r="E29" s="86">
        <f t="shared" si="2"/>
        <v>48.530626183601875</v>
      </c>
      <c r="F29" s="86">
        <v>793.07</v>
      </c>
      <c r="G29" s="35">
        <f>G30+G32+G31</f>
        <v>7437.01</v>
      </c>
      <c r="H29" s="86">
        <f t="shared" si="1"/>
        <v>105.09734422839286</v>
      </c>
      <c r="I29" s="30">
        <f>D29-май!D29</f>
        <v>1416.8999999999996</v>
      </c>
    </row>
    <row r="30" spans="1:9" ht="25.5">
      <c r="A30" s="56" t="s">
        <v>10</v>
      </c>
      <c r="B30" s="85">
        <v>15988.3</v>
      </c>
      <c r="C30" s="85">
        <v>7700</v>
      </c>
      <c r="D30" s="85">
        <v>7727.7</v>
      </c>
      <c r="E30" s="86">
        <f t="shared" si="2"/>
        <v>48.3334688490959</v>
      </c>
      <c r="F30" s="86">
        <v>793.07</v>
      </c>
      <c r="G30" s="28">
        <v>7343.41</v>
      </c>
      <c r="H30" s="48">
        <f t="shared" si="1"/>
        <v>105.23312738904677</v>
      </c>
      <c r="I30" s="30">
        <f>D30-май!D30</f>
        <v>1402.5</v>
      </c>
    </row>
    <row r="31" spans="1:9" ht="25.5">
      <c r="A31" s="56" t="s">
        <v>91</v>
      </c>
      <c r="B31" s="81">
        <f>67200/1000</f>
        <v>67.2</v>
      </c>
      <c r="C31" s="81">
        <v>33.6</v>
      </c>
      <c r="D31" s="81">
        <v>38.4</v>
      </c>
      <c r="E31" s="86">
        <f t="shared" si="2"/>
        <v>57.14285714285714</v>
      </c>
      <c r="F31" s="86">
        <v>0</v>
      </c>
      <c r="G31" s="28">
        <v>60</v>
      </c>
      <c r="H31" s="48">
        <f t="shared" si="1"/>
        <v>64</v>
      </c>
      <c r="I31" s="30">
        <f>D31-май!D31</f>
        <v>14.399999999999999</v>
      </c>
    </row>
    <row r="32" spans="1:9" ht="25.5">
      <c r="A32" s="56" t="s">
        <v>90</v>
      </c>
      <c r="B32" s="81">
        <f>50000/1000</f>
        <v>50</v>
      </c>
      <c r="C32" s="81">
        <v>20</v>
      </c>
      <c r="D32" s="81">
        <v>50</v>
      </c>
      <c r="E32" s="86">
        <f t="shared" si="2"/>
        <v>100</v>
      </c>
      <c r="F32" s="86">
        <v>0</v>
      </c>
      <c r="G32" s="28">
        <v>33.6</v>
      </c>
      <c r="H32" s="48">
        <f t="shared" si="1"/>
        <v>148.80952380952382</v>
      </c>
      <c r="I32" s="30">
        <f>D32-май!D32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 t="shared" si="2"/>
        <v>#DIV/0!</v>
      </c>
      <c r="F33" s="86">
        <v>0</v>
      </c>
      <c r="G33" s="35">
        <f>G34+G35</f>
        <v>0.039999999999999994</v>
      </c>
      <c r="H33" s="48">
        <f t="shared" si="1"/>
        <v>50.000000000000014</v>
      </c>
      <c r="I33" s="30">
        <f>D33-май!D33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 t="shared" si="2"/>
        <v>#DIV/0!</v>
      </c>
      <c r="F34" s="86">
        <v>0</v>
      </c>
      <c r="G34" s="28">
        <v>0.06</v>
      </c>
      <c r="H34" s="48">
        <f t="shared" si="1"/>
        <v>33.333333333333336</v>
      </c>
      <c r="I34" s="30">
        <f>D34-май!D34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 t="shared" si="2"/>
        <v>#DIV/0!</v>
      </c>
      <c r="F35" s="86">
        <v>0</v>
      </c>
      <c r="G35" s="28">
        <v>-0.02</v>
      </c>
      <c r="H35" s="48">
        <f t="shared" si="1"/>
        <v>0</v>
      </c>
      <c r="I35" s="30">
        <f>D35-май!D35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27781.499999999996</v>
      </c>
      <c r="D36" s="87">
        <f>SUM(D38:D44)</f>
        <v>24150.6</v>
      </c>
      <c r="E36" s="86">
        <f t="shared" si="2"/>
        <v>32.83544791536796</v>
      </c>
      <c r="F36" s="86">
        <v>3247.05</v>
      </c>
      <c r="G36" s="35">
        <f>G37+G39+G40+G41+G43+G44+G38+G42</f>
        <v>32111.33</v>
      </c>
      <c r="H36" s="86">
        <f t="shared" si="1"/>
        <v>75.2089682987282</v>
      </c>
      <c r="I36" s="30">
        <f>D36-май!D36</f>
        <v>3817.5</v>
      </c>
    </row>
    <row r="37" spans="1:9" ht="81.75" customHeight="1" hidden="1">
      <c r="A37" s="56" t="s">
        <v>114</v>
      </c>
      <c r="B37" s="85"/>
      <c r="C37" s="85"/>
      <c r="D37" s="85"/>
      <c r="E37" s="86" t="e">
        <f t="shared" si="2"/>
        <v>#DIV/0!</v>
      </c>
      <c r="F37" s="86"/>
      <c r="G37" s="28"/>
      <c r="H37" s="48" t="e">
        <f t="shared" si="1"/>
        <v>#DIV/0!</v>
      </c>
      <c r="I37" s="30">
        <f>D37-май!D37</f>
        <v>0</v>
      </c>
    </row>
    <row r="38" spans="1:9" ht="76.5">
      <c r="A38" s="56" t="s">
        <v>117</v>
      </c>
      <c r="B38" s="85">
        <v>37670.9</v>
      </c>
      <c r="C38" s="85">
        <v>14500</v>
      </c>
      <c r="D38" s="85">
        <f>11925.5+1432.6</f>
        <v>13358.1</v>
      </c>
      <c r="E38" s="86">
        <f t="shared" si="2"/>
        <v>35.45999697379144</v>
      </c>
      <c r="F38" s="86">
        <v>2393.3</v>
      </c>
      <c r="G38" s="28">
        <v>20717.13</v>
      </c>
      <c r="H38" s="48">
        <f t="shared" si="1"/>
        <v>64.47852574174125</v>
      </c>
      <c r="I38" s="30">
        <f>D38-май!D38</f>
        <v>1059.7000000000007</v>
      </c>
    </row>
    <row r="39" spans="1:9" ht="76.5">
      <c r="A39" s="56" t="s">
        <v>125</v>
      </c>
      <c r="B39" s="82">
        <v>7265</v>
      </c>
      <c r="C39" s="82">
        <v>1691.9</v>
      </c>
      <c r="D39" s="82">
        <v>2119.6</v>
      </c>
      <c r="E39" s="86">
        <f t="shared" si="2"/>
        <v>29.17549896765313</v>
      </c>
      <c r="F39" s="86">
        <v>75.44</v>
      </c>
      <c r="G39" s="28">
        <v>386.15</v>
      </c>
      <c r="H39" s="48">
        <f t="shared" si="1"/>
        <v>548.9058655962709</v>
      </c>
      <c r="I39" s="30">
        <f>D39-май!D39</f>
        <v>800.5</v>
      </c>
    </row>
    <row r="40" spans="1:9" ht="76.5">
      <c r="A40" s="56" t="s">
        <v>118</v>
      </c>
      <c r="B40" s="82">
        <v>428</v>
      </c>
      <c r="C40" s="82">
        <v>210.5</v>
      </c>
      <c r="D40" s="82">
        <v>233.3</v>
      </c>
      <c r="E40" s="86">
        <f t="shared" si="2"/>
        <v>54.50934579439253</v>
      </c>
      <c r="F40" s="86">
        <v>3.43</v>
      </c>
      <c r="G40" s="28">
        <v>219.13000000000005</v>
      </c>
      <c r="H40" s="48">
        <f t="shared" si="1"/>
        <v>106.46648108428785</v>
      </c>
      <c r="I40" s="30">
        <f>D40-май!D40</f>
        <v>54</v>
      </c>
    </row>
    <row r="41" spans="1:9" ht="38.25">
      <c r="A41" s="56" t="s">
        <v>119</v>
      </c>
      <c r="B41" s="82">
        <v>21306.5</v>
      </c>
      <c r="C41" s="82">
        <v>6571.3</v>
      </c>
      <c r="D41" s="82">
        <v>6481.5</v>
      </c>
      <c r="E41" s="86">
        <f t="shared" si="2"/>
        <v>30.42029427639453</v>
      </c>
      <c r="F41" s="86">
        <v>538.73</v>
      </c>
      <c r="G41" s="28">
        <v>6298.300000000001</v>
      </c>
      <c r="H41" s="48">
        <f t="shared" si="1"/>
        <v>102.90872140101295</v>
      </c>
      <c r="I41" s="30">
        <f>D41-май!D41</f>
        <v>1227.8999999999996</v>
      </c>
    </row>
    <row r="42" spans="1:9" ht="51">
      <c r="A42" s="56" t="s">
        <v>147</v>
      </c>
      <c r="B42" s="82">
        <v>64.2</v>
      </c>
      <c r="C42" s="82">
        <v>32.1</v>
      </c>
      <c r="D42" s="82">
        <v>8.5</v>
      </c>
      <c r="E42" s="86">
        <f t="shared" si="2"/>
        <v>13.239875389408098</v>
      </c>
      <c r="F42" s="86"/>
      <c r="G42" s="28">
        <v>16.1</v>
      </c>
      <c r="H42" s="48">
        <f t="shared" si="1"/>
        <v>52.79503105590062</v>
      </c>
      <c r="I42" s="30">
        <f>D42-май!D42</f>
        <v>8.5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 t="shared" si="2"/>
        <v>17.458692791343765</v>
      </c>
      <c r="F43" s="86">
        <v>0</v>
      </c>
      <c r="G43" s="28">
        <v>2292.53</v>
      </c>
      <c r="H43" s="48">
        <f t="shared" si="1"/>
        <v>20.83287895905397</v>
      </c>
      <c r="I43" s="30">
        <f>D43-май!D43</f>
        <v>331</v>
      </c>
    </row>
    <row r="44" spans="1:9" ht="76.5">
      <c r="A44" s="60" t="s">
        <v>121</v>
      </c>
      <c r="B44" s="82">
        <v>4080.19</v>
      </c>
      <c r="C44" s="82">
        <v>2040.1</v>
      </c>
      <c r="D44" s="82">
        <v>1472</v>
      </c>
      <c r="E44" s="86">
        <f t="shared" si="2"/>
        <v>36.076751327756796</v>
      </c>
      <c r="F44" s="86">
        <v>236.15</v>
      </c>
      <c r="G44" s="28">
        <v>2181.99</v>
      </c>
      <c r="H44" s="48">
        <f t="shared" si="1"/>
        <v>67.46135408503248</v>
      </c>
      <c r="I44" s="30">
        <f>D44-май!D44</f>
        <v>335.9000000000001</v>
      </c>
    </row>
    <row r="45" spans="1:9" ht="27" customHeight="1">
      <c r="A45" s="53" t="s">
        <v>13</v>
      </c>
      <c r="B45" s="87">
        <v>766.9</v>
      </c>
      <c r="C45" s="87">
        <v>421.6</v>
      </c>
      <c r="D45" s="87">
        <v>408.4</v>
      </c>
      <c r="E45" s="86">
        <f t="shared" si="2"/>
        <v>53.25335767375147</v>
      </c>
      <c r="F45" s="86">
        <v>43.6</v>
      </c>
      <c r="G45" s="27">
        <v>360.58000000000004</v>
      </c>
      <c r="H45" s="86">
        <f t="shared" si="1"/>
        <v>113.26196683121637</v>
      </c>
      <c r="I45" s="30">
        <f>D45-май!D45</f>
        <v>1.5</v>
      </c>
    </row>
    <row r="46" spans="1:9" ht="25.5">
      <c r="A46" s="53" t="s">
        <v>96</v>
      </c>
      <c r="B46" s="87">
        <v>9478.5</v>
      </c>
      <c r="C46" s="87">
        <v>8466.8</v>
      </c>
      <c r="D46" s="87">
        <v>9254.8</v>
      </c>
      <c r="E46" s="86">
        <f t="shared" si="2"/>
        <v>97.63992192857519</v>
      </c>
      <c r="F46" s="86">
        <v>561.58</v>
      </c>
      <c r="G46" s="27">
        <v>739.72</v>
      </c>
      <c r="H46" s="86">
        <f t="shared" si="1"/>
        <v>1251.1220461796354</v>
      </c>
      <c r="I46" s="30">
        <f>D46-май!D46</f>
        <v>5860.299999999999</v>
      </c>
    </row>
    <row r="47" spans="1:9" ht="25.5">
      <c r="A47" s="59" t="s">
        <v>14</v>
      </c>
      <c r="B47" s="87">
        <f>SUM(B48:B50)</f>
        <v>12400</v>
      </c>
      <c r="C47" s="87">
        <v>1772.7</v>
      </c>
      <c r="D47" s="87">
        <v>1468.4</v>
      </c>
      <c r="E47" s="86">
        <f t="shared" si="2"/>
        <v>11.84193548387097</v>
      </c>
      <c r="F47" s="86">
        <v>585.5</v>
      </c>
      <c r="G47" s="35">
        <f>G48+G49+G50</f>
        <v>678.1899999999999</v>
      </c>
      <c r="H47" s="86">
        <f t="shared" si="1"/>
        <v>216.51749509724416</v>
      </c>
      <c r="I47" s="30">
        <f>D47-май!D47</f>
        <v>725.7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 t="shared" si="1"/>
        <v>0</v>
      </c>
      <c r="I48" s="30">
        <f>D48-май!D48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13.34</v>
      </c>
      <c r="H49" s="48">
        <v>0</v>
      </c>
      <c r="I49" s="30">
        <f>D49-май!D49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1772.7</v>
      </c>
      <c r="D50" s="83">
        <v>1468.4</v>
      </c>
      <c r="E50" s="86">
        <f aca="true" t="shared" si="3" ref="E50:E72">$D:$D/$B:$B*100</f>
        <v>37.65128205128205</v>
      </c>
      <c r="F50" s="86">
        <v>548.36</v>
      </c>
      <c r="G50" s="28">
        <v>612.16</v>
      </c>
      <c r="H50" s="48">
        <f aca="true" t="shared" si="4" ref="H50:H69">$D:$D/$G:$G*100</f>
        <v>239.8719289074752</v>
      </c>
      <c r="I50" s="30">
        <f>D50-май!D50</f>
        <v>725.7</v>
      </c>
    </row>
    <row r="51" spans="1:9" ht="12.75">
      <c r="A51" s="53" t="s">
        <v>15</v>
      </c>
      <c r="B51" s="85">
        <v>5222.7</v>
      </c>
      <c r="C51" s="85">
        <v>1317.9</v>
      </c>
      <c r="D51" s="85">
        <v>3811.9</v>
      </c>
      <c r="E51" s="86">
        <f t="shared" si="3"/>
        <v>72.98715223926322</v>
      </c>
      <c r="F51" s="86">
        <v>179.73</v>
      </c>
      <c r="G51" s="35">
        <v>6211.71</v>
      </c>
      <c r="H51" s="86">
        <f t="shared" si="4"/>
        <v>61.36635483626892</v>
      </c>
      <c r="I51" s="30">
        <f>D51-май!D51</f>
        <v>2350.9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 t="shared" si="3"/>
        <v>0</v>
      </c>
      <c r="F52" s="86"/>
      <c r="G52" s="28"/>
      <c r="H52" s="48" t="e">
        <f t="shared" si="4"/>
        <v>#DIV/0!</v>
      </c>
      <c r="I52" s="30">
        <f>D52-май!D52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 t="shared" si="3"/>
        <v>0</v>
      </c>
      <c r="F53" s="86"/>
      <c r="G53" s="28"/>
      <c r="H53" s="48" t="e">
        <f t="shared" si="4"/>
        <v>#DIV/0!</v>
      </c>
      <c r="I53" s="30">
        <f>D53-май!D53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 t="shared" si="3"/>
        <v>0</v>
      </c>
      <c r="F54" s="86"/>
      <c r="G54" s="28"/>
      <c r="H54" s="48" t="e">
        <f t="shared" si="4"/>
        <v>#DIV/0!</v>
      </c>
      <c r="I54" s="30">
        <f>D54-май!D54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 t="shared" si="3"/>
        <v>0</v>
      </c>
      <c r="F55" s="86"/>
      <c r="G55" s="28"/>
      <c r="H55" s="48" t="e">
        <f t="shared" si="4"/>
        <v>#DIV/0!</v>
      </c>
      <c r="I55" s="30">
        <f>D55-май!D55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 t="shared" si="3"/>
        <v>0</v>
      </c>
      <c r="F56" s="86"/>
      <c r="G56" s="28"/>
      <c r="H56" s="48" t="e">
        <f t="shared" si="4"/>
        <v>#DIV/0!</v>
      </c>
      <c r="I56" s="30">
        <f>D56-май!D56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 t="shared" si="3"/>
        <v>0</v>
      </c>
      <c r="F57" s="86"/>
      <c r="G57" s="28"/>
      <c r="H57" s="48" t="e">
        <f t="shared" si="4"/>
        <v>#DIV/0!</v>
      </c>
      <c r="I57" s="30">
        <f>D57-май!D57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 t="shared" si="3"/>
        <v>0</v>
      </c>
      <c r="F58" s="86"/>
      <c r="G58" s="28"/>
      <c r="H58" s="48" t="e">
        <f t="shared" si="4"/>
        <v>#DIV/0!</v>
      </c>
      <c r="I58" s="30">
        <f>D58-май!D58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 t="shared" si="3"/>
        <v>0</v>
      </c>
      <c r="F59" s="86"/>
      <c r="G59" s="28"/>
      <c r="H59" s="48" t="e">
        <f t="shared" si="4"/>
        <v>#DIV/0!</v>
      </c>
      <c r="I59" s="30">
        <f>D59-май!D59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 t="shared" si="3"/>
        <v>0</v>
      </c>
      <c r="F60" s="86"/>
      <c r="G60" s="28"/>
      <c r="H60" s="48" t="e">
        <f t="shared" si="4"/>
        <v>#DIV/0!</v>
      </c>
      <c r="I60" s="30">
        <f>D60-май!D60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 t="shared" si="3"/>
        <v>0</v>
      </c>
      <c r="F61" s="86"/>
      <c r="G61" s="28"/>
      <c r="H61" s="48" t="e">
        <f t="shared" si="4"/>
        <v>#DIV/0!</v>
      </c>
      <c r="I61" s="30">
        <f>D61-май!D61</f>
        <v>0</v>
      </c>
    </row>
    <row r="62" spans="1:9" ht="12.75">
      <c r="A62" s="52" t="s">
        <v>16</v>
      </c>
      <c r="B62" s="81">
        <f>50000/1000</f>
        <v>50</v>
      </c>
      <c r="C62" s="81">
        <v>25</v>
      </c>
      <c r="D62" s="81">
        <v>0</v>
      </c>
      <c r="E62" s="86">
        <f t="shared" si="3"/>
        <v>0</v>
      </c>
      <c r="F62" s="86">
        <v>-38.79</v>
      </c>
      <c r="G62" s="27">
        <v>24.43</v>
      </c>
      <c r="H62" s="86">
        <f t="shared" si="4"/>
        <v>0</v>
      </c>
      <c r="I62" s="30">
        <f>D62-май!D62</f>
        <v>-2.5</v>
      </c>
    </row>
    <row r="63" spans="1:9" ht="12.75">
      <c r="A63" s="59" t="s">
        <v>17</v>
      </c>
      <c r="B63" s="87">
        <f>B62+B51+B47+B46+B45+B36+B29+B26+B21+B16+B8</f>
        <v>731115.3899999999</v>
      </c>
      <c r="C63" s="87">
        <f>C62+C51+C47+C46+C45+C36+C29+C26+C21+C16+C8</f>
        <v>343141.98</v>
      </c>
      <c r="D63" s="87">
        <f>D62+D51+D47+D46+D45+D36+D29+D26+D21+D16+D8</f>
        <v>332804.8</v>
      </c>
      <c r="E63" s="86">
        <f t="shared" si="3"/>
        <v>45.520146963395206</v>
      </c>
      <c r="F63" s="86">
        <v>27699.089999999997</v>
      </c>
      <c r="G63" s="35">
        <f>G8+G16+G21+G26+G29+G33+G36+G45+G46+G47+G62+G51</f>
        <v>270620.09</v>
      </c>
      <c r="H63" s="86">
        <f t="shared" si="4"/>
        <v>122.97860073876996</v>
      </c>
      <c r="I63" s="30">
        <f>D63-май!D63</f>
        <v>61848.29999999999</v>
      </c>
    </row>
    <row r="64" spans="1:9" ht="12.75">
      <c r="A64" s="59" t="s">
        <v>18</v>
      </c>
      <c r="B64" s="85">
        <f>B65+B70+B71</f>
        <v>3380645.7300000004</v>
      </c>
      <c r="C64" s="85">
        <f>C65+C70+C71</f>
        <v>1106753.6</v>
      </c>
      <c r="D64" s="85">
        <f>D65+D70+D71</f>
        <v>960593.1</v>
      </c>
      <c r="E64" s="86">
        <f t="shared" si="3"/>
        <v>28.41448577340282</v>
      </c>
      <c r="F64" s="86">
        <v>43822.57000000001</v>
      </c>
      <c r="G64" s="35">
        <f>G65+G71+G70</f>
        <v>881538.56</v>
      </c>
      <c r="H64" s="86">
        <f t="shared" si="4"/>
        <v>108.96779149399885</v>
      </c>
      <c r="I64" s="30">
        <f>D64-май!D64</f>
        <v>242226.40000000002</v>
      </c>
    </row>
    <row r="65" spans="1:9" ht="25.5">
      <c r="A65" s="59" t="s">
        <v>19</v>
      </c>
      <c r="B65" s="85">
        <f>SUM(B66:B69)</f>
        <v>3394196.3000000003</v>
      </c>
      <c r="C65" s="85">
        <f>SUM(C66:C69)</f>
        <v>1125126.5</v>
      </c>
      <c r="D65" s="85">
        <f>SUM(D66:D69)</f>
        <v>978966</v>
      </c>
      <c r="E65" s="86">
        <f t="shared" si="3"/>
        <v>28.84235069138458</v>
      </c>
      <c r="F65" s="86">
        <v>46091.770000000004</v>
      </c>
      <c r="G65" s="35">
        <f>G66+G67+G69+G68</f>
        <v>884383.8600000001</v>
      </c>
      <c r="H65" s="86">
        <f t="shared" si="4"/>
        <v>110.69469313924385</v>
      </c>
      <c r="I65" s="30">
        <f>D65-май!D65</f>
        <v>242226.40000000002</v>
      </c>
    </row>
    <row r="66" spans="1:9" ht="12.75">
      <c r="A66" s="56" t="s">
        <v>108</v>
      </c>
      <c r="B66" s="85">
        <v>480567.2</v>
      </c>
      <c r="C66" s="85">
        <v>252586.1</v>
      </c>
      <c r="D66" s="85">
        <v>224586.1</v>
      </c>
      <c r="E66" s="86">
        <f t="shared" si="3"/>
        <v>46.73354735820505</v>
      </c>
      <c r="F66" s="86">
        <v>15902.8</v>
      </c>
      <c r="G66" s="28">
        <v>223063.81</v>
      </c>
      <c r="H66" s="48">
        <f t="shared" si="4"/>
        <v>100.68244597812617</v>
      </c>
      <c r="I66" s="30">
        <f>D66-май!D66</f>
        <v>57783.80000000002</v>
      </c>
    </row>
    <row r="67" spans="1:9" ht="12.75" customHeight="1">
      <c r="A67" s="56" t="s">
        <v>109</v>
      </c>
      <c r="B67" s="85">
        <v>1704474.6</v>
      </c>
      <c r="C67" s="85">
        <v>286618.9</v>
      </c>
      <c r="D67" s="85">
        <v>169480.2</v>
      </c>
      <c r="E67" s="86">
        <f t="shared" si="3"/>
        <v>9.943251721087542</v>
      </c>
      <c r="F67" s="86">
        <v>0</v>
      </c>
      <c r="G67" s="28">
        <v>107330.07</v>
      </c>
      <c r="H67" s="48">
        <f t="shared" si="4"/>
        <v>157.90560837237877</v>
      </c>
      <c r="I67" s="30">
        <f>D67-май!D67</f>
        <v>29302.900000000023</v>
      </c>
    </row>
    <row r="68" spans="1:9" ht="18.75" customHeight="1">
      <c r="A68" s="56" t="s">
        <v>110</v>
      </c>
      <c r="B68" s="85">
        <v>1151611</v>
      </c>
      <c r="C68" s="85">
        <v>560802</v>
      </c>
      <c r="D68" s="85">
        <v>558398.6</v>
      </c>
      <c r="E68" s="86">
        <f t="shared" si="3"/>
        <v>48.48847397254802</v>
      </c>
      <c r="F68" s="86">
        <v>30188.97</v>
      </c>
      <c r="G68" s="28">
        <v>525918.0900000001</v>
      </c>
      <c r="H68" s="48">
        <f t="shared" si="4"/>
        <v>106.17596363722721</v>
      </c>
      <c r="I68" s="30">
        <f>D68-май!D68</f>
        <v>143794</v>
      </c>
    </row>
    <row r="69" spans="1:9" ht="12.75" customHeight="1">
      <c r="A69" s="2" t="s">
        <v>122</v>
      </c>
      <c r="B69" s="82">
        <v>57543.5</v>
      </c>
      <c r="C69" s="82">
        <v>25119.5</v>
      </c>
      <c r="D69" s="82">
        <v>26501.1</v>
      </c>
      <c r="E69" s="86">
        <f t="shared" si="3"/>
        <v>46.054028691337855</v>
      </c>
      <c r="F69" s="86">
        <v>0</v>
      </c>
      <c r="G69" s="28">
        <v>28071.89</v>
      </c>
      <c r="H69" s="48">
        <f t="shared" si="4"/>
        <v>94.40440241109522</v>
      </c>
      <c r="I69" s="30">
        <f>D69-май!D69</f>
        <v>11345.699999999999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 t="shared" si="3"/>
        <v>0</v>
      </c>
      <c r="F70" s="86">
        <v>0</v>
      </c>
      <c r="G70" s="28"/>
      <c r="H70" s="48">
        <v>0</v>
      </c>
      <c r="I70" s="30">
        <f>D70-май!D70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 t="shared" si="3"/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D71-май!D71</f>
        <v>0</v>
      </c>
    </row>
    <row r="72" spans="1:9" ht="12.75">
      <c r="A72" s="52" t="s">
        <v>20</v>
      </c>
      <c r="B72" s="87">
        <f>B63+B64</f>
        <v>4111761.12</v>
      </c>
      <c r="C72" s="87">
        <f>C63+C64</f>
        <v>1449895.58</v>
      </c>
      <c r="D72" s="87">
        <f>D63+D64</f>
        <v>1293397.9</v>
      </c>
      <c r="E72" s="86">
        <f t="shared" si="3"/>
        <v>31.456056474409188</v>
      </c>
      <c r="F72" s="86">
        <v>71521.66</v>
      </c>
      <c r="G72" s="35">
        <v>1152158.7</v>
      </c>
      <c r="H72" s="86">
        <f>$D:$D/$G:$G*100</f>
        <v>112.25865846432438</v>
      </c>
      <c r="I72" s="30">
        <f>D72-май!D72</f>
        <v>304074.69999999995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0">
        <f>B79+B80+B81+B82+B83+B84+B85+B86</f>
        <v>402104.39999999997</v>
      </c>
      <c r="C78" s="30">
        <f>C79+C80+C81+C82+C83+C84+C85+C86</f>
        <v>82655.20000000001</v>
      </c>
      <c r="D78" s="30">
        <f>D79+D80+D81+D82+D83+D84+D85+D86</f>
        <v>80199.3</v>
      </c>
      <c r="E78" s="86">
        <f>$D:$D/$B:$B*100</f>
        <v>19.944894907889594</v>
      </c>
      <c r="F78" s="86">
        <f>$D:$D/$C:$C*100</f>
        <v>97.0287410834406</v>
      </c>
      <c r="G78" s="35">
        <f>G79+G80+G81+G82+G83+G84+G85+G86</f>
        <v>61308.8</v>
      </c>
      <c r="H78" s="86">
        <f aca="true" t="shared" si="5" ref="H78:H83">$D:$D/$G:$G*100</f>
        <v>130.8120530821024</v>
      </c>
      <c r="I78" s="82">
        <f>D78-май!D78</f>
        <v>29160.4</v>
      </c>
    </row>
    <row r="79" spans="1:9" ht="14.25" customHeight="1">
      <c r="A79" s="8" t="s">
        <v>24</v>
      </c>
      <c r="B79" s="82">
        <v>2984.6</v>
      </c>
      <c r="C79" s="71">
        <v>1251.1</v>
      </c>
      <c r="D79" s="71">
        <v>1062.9</v>
      </c>
      <c r="E79" s="48">
        <f>$D:$D/$B:$B*100</f>
        <v>35.61281243717752</v>
      </c>
      <c r="F79" s="48">
        <v>0</v>
      </c>
      <c r="G79" s="36">
        <v>1230.8</v>
      </c>
      <c r="H79" s="48">
        <f t="shared" si="5"/>
        <v>86.35846603834905</v>
      </c>
      <c r="I79" s="82">
        <f>D79-май!D79</f>
        <v>215.30000000000007</v>
      </c>
    </row>
    <row r="80" spans="1:9" ht="12.75">
      <c r="A80" s="8" t="s">
        <v>25</v>
      </c>
      <c r="B80" s="82">
        <v>6999</v>
      </c>
      <c r="C80" s="71">
        <v>3204.2</v>
      </c>
      <c r="D80" s="71">
        <v>2860.6</v>
      </c>
      <c r="E80" s="48">
        <f>$D:$D/$B:$B*100</f>
        <v>40.871553079011285</v>
      </c>
      <c r="F80" s="48">
        <f>$D:$D/$C:$C*100</f>
        <v>89.27657449597403</v>
      </c>
      <c r="G80" s="36">
        <v>3126.2</v>
      </c>
      <c r="H80" s="48">
        <f t="shared" si="5"/>
        <v>91.50406244002303</v>
      </c>
      <c r="I80" s="82">
        <f>D80-май!D80</f>
        <v>490</v>
      </c>
    </row>
    <row r="81" spans="1:9" ht="25.5">
      <c r="A81" s="8" t="s">
        <v>26</v>
      </c>
      <c r="B81" s="82">
        <v>68688.2</v>
      </c>
      <c r="C81" s="71">
        <v>28529.2</v>
      </c>
      <c r="D81" s="71">
        <v>27713.6</v>
      </c>
      <c r="E81" s="48">
        <f>$D:$D/$B:$B*100</f>
        <v>40.34695915746809</v>
      </c>
      <c r="F81" s="48">
        <f>$D:$D/$C:$C*100</f>
        <v>97.14117465614177</v>
      </c>
      <c r="G81" s="36">
        <v>29899.5</v>
      </c>
      <c r="H81" s="48">
        <f t="shared" si="5"/>
        <v>92.68917540427097</v>
      </c>
      <c r="I81" s="82">
        <f>D81-май!D81</f>
        <v>5373.699999999997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 t="shared" si="5"/>
        <v>598.5915492957747</v>
      </c>
      <c r="I82" s="82">
        <f>D82-май!D82</f>
        <v>0</v>
      </c>
    </row>
    <row r="83" spans="1:9" ht="25.5">
      <c r="A83" s="1" t="s">
        <v>27</v>
      </c>
      <c r="B83" s="85">
        <v>16486.5</v>
      </c>
      <c r="C83" s="71">
        <v>7423.8</v>
      </c>
      <c r="D83" s="71">
        <v>6788.8</v>
      </c>
      <c r="E83" s="48">
        <f>$D:$D/$B:$B*100</f>
        <v>41.17793346071028</v>
      </c>
      <c r="F83" s="48">
        <v>0</v>
      </c>
      <c r="G83" s="28">
        <v>6817.3</v>
      </c>
      <c r="H83" s="48">
        <f t="shared" si="5"/>
        <v>99.58194593167383</v>
      </c>
      <c r="I83" s="82">
        <f>D83-май!D83</f>
        <v>777.6000000000004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D84-май!D84</f>
        <v>8500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D85-май!D85</f>
        <v>0</v>
      </c>
    </row>
    <row r="86" spans="1:9" ht="12.75">
      <c r="A86" s="1" t="s">
        <v>30</v>
      </c>
      <c r="B86" s="82">
        <v>296438.6</v>
      </c>
      <c r="C86" s="71">
        <v>33576.9</v>
      </c>
      <c r="D86" s="71">
        <v>33103.4</v>
      </c>
      <c r="E86" s="48">
        <f>$D:$D/$B:$B*100</f>
        <v>11.167034252624322</v>
      </c>
      <c r="F86" s="48">
        <f>$D:$D/$C:$C*100</f>
        <v>98.58980429998005</v>
      </c>
      <c r="G86" s="36">
        <v>20206.6</v>
      </c>
      <c r="H86" s="48">
        <f>$D:$D/$G:$G*100</f>
        <v>163.82469094256334</v>
      </c>
      <c r="I86" s="82">
        <f>D86-май!D86</f>
        <v>13803.800000000003</v>
      </c>
    </row>
    <row r="87" spans="1:9" ht="12.75">
      <c r="A87" s="7" t="s">
        <v>31</v>
      </c>
      <c r="B87" s="87">
        <f>428600/1000</f>
        <v>428.6</v>
      </c>
      <c r="C87" s="94">
        <v>241.9</v>
      </c>
      <c r="D87" s="94">
        <v>241.9</v>
      </c>
      <c r="E87" s="86">
        <f>$D:$D/$B:$B*100</f>
        <v>56.439570695286974</v>
      </c>
      <c r="F87" s="86">
        <f>$D:$D/$C:$C*100</f>
        <v>100</v>
      </c>
      <c r="G87" s="35">
        <v>199.5</v>
      </c>
      <c r="H87" s="86">
        <f>$D:$D/$G:$G*100</f>
        <v>121.25313283208021</v>
      </c>
      <c r="I87" s="82">
        <f>D87-май!D87</f>
        <v>105.5</v>
      </c>
    </row>
    <row r="88" spans="1:9" ht="25.5">
      <c r="A88" s="9" t="s">
        <v>32</v>
      </c>
      <c r="B88" s="87">
        <v>13233.6</v>
      </c>
      <c r="C88" s="94">
        <v>2980.2</v>
      </c>
      <c r="D88" s="94">
        <v>2972.7</v>
      </c>
      <c r="E88" s="86">
        <f>$D:$D/$B:$B*100</f>
        <v>22.4632752992383</v>
      </c>
      <c r="F88" s="86">
        <f>$D:$D/$C:$C*100</f>
        <v>99.74833903764848</v>
      </c>
      <c r="G88" s="27">
        <v>2087.3</v>
      </c>
      <c r="H88" s="86">
        <f>$D:$D/$G:$G*100</f>
        <v>142.41843529919032</v>
      </c>
      <c r="I88" s="82">
        <f>D88-май!D88</f>
        <v>863.6999999999998</v>
      </c>
    </row>
    <row r="89" spans="1:9" ht="12.75">
      <c r="A89" s="7" t="s">
        <v>33</v>
      </c>
      <c r="B89" s="30">
        <f>B90+B91+B92+B93+B94</f>
        <v>610589</v>
      </c>
      <c r="C89" s="30">
        <f>C90+C91+C92+C93+C94</f>
        <v>43572.3</v>
      </c>
      <c r="D89" s="30">
        <f>D90+D91+D92+D93+D94</f>
        <v>43237.899999999994</v>
      </c>
      <c r="E89" s="86">
        <f>$D:$D/$B:$B*100</f>
        <v>7.081342769031212</v>
      </c>
      <c r="F89" s="86">
        <f>$D:$D/$C:$C*100</f>
        <v>99.23253993936513</v>
      </c>
      <c r="G89" s="35">
        <f>G90+G91+G92+G93+G94</f>
        <v>38307.7</v>
      </c>
      <c r="H89" s="86">
        <f>$D:$D/$G:$G*100</f>
        <v>112.86999741566316</v>
      </c>
      <c r="I89" s="82">
        <f>D89-май!D89</f>
        <v>19410.999999999993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D90-май!D90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D91-май!D91</f>
        <v>0</v>
      </c>
    </row>
    <row r="92" spans="1:9" ht="12.75">
      <c r="A92" s="8" t="s">
        <v>34</v>
      </c>
      <c r="B92" s="82">
        <v>27875.6</v>
      </c>
      <c r="C92" s="71">
        <v>11530.5</v>
      </c>
      <c r="D92" s="71">
        <v>11530.5</v>
      </c>
      <c r="E92" s="48">
        <f>$D:$D/$B:$B*100</f>
        <v>41.36413207249351</v>
      </c>
      <c r="F92" s="48">
        <v>0</v>
      </c>
      <c r="G92" s="36">
        <v>10805.1</v>
      </c>
      <c r="H92" s="48">
        <f>$D:$D/$G:$G*100</f>
        <v>106.71349640447568</v>
      </c>
      <c r="I92" s="82">
        <f>D92-май!D92</f>
        <v>2367.2000000000007</v>
      </c>
    </row>
    <row r="93" spans="1:9" ht="12.75">
      <c r="A93" s="10" t="s">
        <v>77</v>
      </c>
      <c r="B93" s="85">
        <v>541217.7</v>
      </c>
      <c r="C93" s="71">
        <v>22453.1</v>
      </c>
      <c r="D93" s="71">
        <v>22453.1</v>
      </c>
      <c r="E93" s="48">
        <f>$D:$D/$B:$B*100</f>
        <v>4.14862632910934</v>
      </c>
      <c r="F93" s="48">
        <f>$D:$D/$C:$C*100</f>
        <v>100</v>
      </c>
      <c r="G93" s="28">
        <v>22470.6</v>
      </c>
      <c r="H93" s="48">
        <f>$D:$D/$G:$G*100</f>
        <v>99.9221204596228</v>
      </c>
      <c r="I93" s="82">
        <f>D93-май!D93</f>
        <v>12120.399999999998</v>
      </c>
    </row>
    <row r="94" spans="1:9" ht="12.75">
      <c r="A94" s="8" t="s">
        <v>35</v>
      </c>
      <c r="B94" s="82">
        <v>41426</v>
      </c>
      <c r="C94" s="71">
        <v>9588.7</v>
      </c>
      <c r="D94" s="71">
        <v>9254.3</v>
      </c>
      <c r="E94" s="48">
        <f>$D:$D/$B:$B*100</f>
        <v>22.339352097716407</v>
      </c>
      <c r="F94" s="48">
        <f>$D:$D/$C:$C*100</f>
        <v>96.51256166112194</v>
      </c>
      <c r="G94" s="36">
        <v>5032</v>
      </c>
      <c r="H94" s="48">
        <f>$D:$D/$G:$G*100</f>
        <v>183.90898251192368</v>
      </c>
      <c r="I94" s="82">
        <f>D94-май!D94</f>
        <v>4923.4</v>
      </c>
    </row>
    <row r="95" spans="1:9" ht="12.75">
      <c r="A95" s="7" t="s">
        <v>36</v>
      </c>
      <c r="B95" s="30">
        <f>B97+B98+B99+B96</f>
        <v>739510.1000000001</v>
      </c>
      <c r="C95" s="87">
        <f>C97+C98+C99+C96</f>
        <v>62939.700000000004</v>
      </c>
      <c r="D95" s="30">
        <f>D97+D98+D99+D96</f>
        <v>61556.50000000001</v>
      </c>
      <c r="E95" s="30">
        <f>E98+E99+E96</f>
        <v>25.46641118810132</v>
      </c>
      <c r="F95" s="86">
        <f>$D:$D/$C:$C*100</f>
        <v>97.80234097080222</v>
      </c>
      <c r="G95" s="35">
        <f>G97+G98+G99+G96</f>
        <v>94202.80000000002</v>
      </c>
      <c r="H95" s="30">
        <f>H97+H98+H99</f>
        <v>185.87161323022335</v>
      </c>
      <c r="I95" s="82">
        <f>D95-май!D95</f>
        <v>19903.100000000006</v>
      </c>
    </row>
    <row r="96" spans="1:9" ht="12.75">
      <c r="A96" s="8" t="s">
        <v>37</v>
      </c>
      <c r="B96" s="71">
        <v>39736.3</v>
      </c>
      <c r="C96" s="71">
        <v>2239.4</v>
      </c>
      <c r="D96" s="71">
        <v>2239.4</v>
      </c>
      <c r="E96" s="48">
        <v>0</v>
      </c>
      <c r="F96" s="48">
        <v>0</v>
      </c>
      <c r="G96" s="49">
        <v>27460.6</v>
      </c>
      <c r="H96" s="48">
        <f>$D:$D/$G:$G*100</f>
        <v>8.154956555938327</v>
      </c>
      <c r="I96" s="82">
        <f>D96-май!D96</f>
        <v>2239.4</v>
      </c>
    </row>
    <row r="97" spans="1:9" ht="12.75">
      <c r="A97" s="8" t="s">
        <v>38</v>
      </c>
      <c r="B97" s="82">
        <v>37341.2</v>
      </c>
      <c r="C97" s="71">
        <v>183.4</v>
      </c>
      <c r="D97" s="71">
        <v>183.4</v>
      </c>
      <c r="E97" s="48">
        <f aca="true" t="shared" si="6" ref="E97:E102">$D:$D/$B:$B*100</f>
        <v>0.49114650841429847</v>
      </c>
      <c r="F97" s="48">
        <v>0</v>
      </c>
      <c r="G97" s="36">
        <v>2411.5</v>
      </c>
      <c r="H97" s="48">
        <f>$D:$D/$G:$G*100</f>
        <v>7.60522496371553</v>
      </c>
      <c r="I97" s="82">
        <f>D97-май!D97</f>
        <v>60.2</v>
      </c>
    </row>
    <row r="98" spans="1:9" ht="12.75">
      <c r="A98" s="8" t="s">
        <v>39</v>
      </c>
      <c r="B98" s="82">
        <v>472515</v>
      </c>
      <c r="C98" s="71">
        <v>18005.4</v>
      </c>
      <c r="D98" s="71">
        <v>18005.4</v>
      </c>
      <c r="E98" s="48">
        <f t="shared" si="6"/>
        <v>3.8105456969620013</v>
      </c>
      <c r="F98" s="48">
        <f>$D:$D/$C:$C*100</f>
        <v>100</v>
      </c>
      <c r="G98" s="36">
        <v>28793.9</v>
      </c>
      <c r="H98" s="48">
        <f>$D:$D/$G:$G*100</f>
        <v>62.53199462386131</v>
      </c>
      <c r="I98" s="82">
        <f>D98-май!D98</f>
        <v>3543.800000000001</v>
      </c>
    </row>
    <row r="99" spans="2:9" ht="12.75">
      <c r="B99" s="82">
        <v>189917.6</v>
      </c>
      <c r="C99" s="71">
        <v>42511.5</v>
      </c>
      <c r="D99" s="71">
        <v>41128.3</v>
      </c>
      <c r="E99" s="48">
        <f t="shared" si="6"/>
        <v>21.655865491139316</v>
      </c>
      <c r="F99" s="48">
        <f>$D:$D/$C:$C*100</f>
        <v>96.74629217976313</v>
      </c>
      <c r="G99" s="36">
        <v>35536.8</v>
      </c>
      <c r="H99" s="48">
        <f>$D:$D/$G:$G*100</f>
        <v>115.73439364264651</v>
      </c>
      <c r="I99" s="82">
        <f>D99-май!D99</f>
        <v>14059.700000000004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 t="shared" si="6"/>
        <v>2.940585533869116</v>
      </c>
      <c r="F100" s="86"/>
      <c r="G100" s="35">
        <f>G101</f>
        <v>136.6</v>
      </c>
      <c r="H100" s="30">
        <f>H101</f>
        <v>300</v>
      </c>
      <c r="I100" s="82">
        <f>D100-май!D100</f>
        <v>0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 t="shared" si="6"/>
        <v>21.008920332205477</v>
      </c>
      <c r="F101" s="48"/>
      <c r="G101" s="36">
        <v>136.6</v>
      </c>
      <c r="H101" s="48">
        <f>$D:$D/$G:$G*100</f>
        <v>300</v>
      </c>
      <c r="I101" s="82">
        <f>D101-май!D101</f>
        <v>0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 t="shared" si="6"/>
        <v>0</v>
      </c>
      <c r="F102" s="48"/>
      <c r="G102" s="95">
        <v>0</v>
      </c>
      <c r="H102" s="48">
        <v>0</v>
      </c>
      <c r="I102" s="82">
        <f>D102-май!D102</f>
        <v>0</v>
      </c>
    </row>
    <row r="103" spans="1:9" ht="12.75">
      <c r="A103" s="11" t="s">
        <v>41</v>
      </c>
      <c r="B103" s="30">
        <f>B104+B105+B107+B108+B109+B106</f>
        <v>1694116.0000000002</v>
      </c>
      <c r="C103" s="30">
        <f>C104+C105+C107+C108+C109+C106</f>
        <v>849616.3</v>
      </c>
      <c r="D103" s="30">
        <f>D104+D105+D107+D108+D109+D106</f>
        <v>849461.1000000001</v>
      </c>
      <c r="E103" s="30">
        <f>E104+E105+E108+E109+E107</f>
        <v>209.24948108851646</v>
      </c>
      <c r="F103" s="30">
        <f>F104+F105+F108+F109+F107</f>
        <v>499.80782446647146</v>
      </c>
      <c r="G103" s="35">
        <f>G104+G105+G106+G108+G109+G107</f>
        <v>794780</v>
      </c>
      <c r="H103" s="30">
        <f>H104+H105+H108+H109+H107</f>
        <v>497.10082301126863</v>
      </c>
      <c r="I103" s="82">
        <f>D103-май!D103</f>
        <v>211485.40000000002</v>
      </c>
    </row>
    <row r="104" spans="1:9" ht="12.75">
      <c r="A104" s="8" t="s">
        <v>42</v>
      </c>
      <c r="B104" s="82">
        <v>632037.7</v>
      </c>
      <c r="C104" s="71">
        <v>329346.5</v>
      </c>
      <c r="D104" s="71">
        <v>329346.5</v>
      </c>
      <c r="E104" s="48">
        <f aca="true" t="shared" si="7" ref="E104:E122">$D:$D/$B:$B*100</f>
        <v>52.10867959300529</v>
      </c>
      <c r="F104" s="48">
        <f aca="true" t="shared" si="8" ref="F104:F112">$D:$D/$C:$C*100</f>
        <v>100</v>
      </c>
      <c r="G104" s="36">
        <v>300976.6</v>
      </c>
      <c r="H104" s="48">
        <f aca="true" t="shared" si="9" ref="H104:H112">$D:$D/$G:$G*100</f>
        <v>109.42594872824</v>
      </c>
      <c r="I104" s="82">
        <f>D104-май!D104</f>
        <v>73665.6</v>
      </c>
    </row>
    <row r="105" spans="1:9" ht="12.75">
      <c r="A105" s="8" t="s">
        <v>43</v>
      </c>
      <c r="B105" s="82">
        <v>680610.9</v>
      </c>
      <c r="C105" s="71">
        <v>339308.1</v>
      </c>
      <c r="D105" s="71">
        <v>339308.1</v>
      </c>
      <c r="E105" s="48">
        <f t="shared" si="7"/>
        <v>49.8534625290309</v>
      </c>
      <c r="F105" s="48">
        <f t="shared" si="8"/>
        <v>100</v>
      </c>
      <c r="G105" s="36">
        <v>328440.2</v>
      </c>
      <c r="H105" s="48">
        <f t="shared" si="9"/>
        <v>103.30894330231195</v>
      </c>
      <c r="I105" s="82">
        <f>D105-май!D105</f>
        <v>83772.39999999997</v>
      </c>
    </row>
    <row r="106" spans="1:9" ht="12.75">
      <c r="A106" s="22" t="s">
        <v>105</v>
      </c>
      <c r="B106" s="82">
        <v>150708.8</v>
      </c>
      <c r="C106" s="71">
        <v>76175.9</v>
      </c>
      <c r="D106" s="71">
        <v>76175.9</v>
      </c>
      <c r="E106" s="48">
        <f t="shared" si="7"/>
        <v>50.54509093032391</v>
      </c>
      <c r="F106" s="48">
        <f t="shared" si="8"/>
        <v>100</v>
      </c>
      <c r="G106" s="36">
        <v>70669.2</v>
      </c>
      <c r="H106" s="48">
        <f t="shared" si="9"/>
        <v>107.79222065624062</v>
      </c>
      <c r="I106" s="82">
        <f>D106-май!D106</f>
        <v>23289.59999999999</v>
      </c>
    </row>
    <row r="107" spans="1:9" ht="25.5">
      <c r="A107" s="8" t="s">
        <v>123</v>
      </c>
      <c r="B107" s="82">
        <v>1680.5</v>
      </c>
      <c r="C107" s="71">
        <v>279</v>
      </c>
      <c r="D107" s="71">
        <v>279</v>
      </c>
      <c r="E107" s="48">
        <f t="shared" si="7"/>
        <v>16.60220172567688</v>
      </c>
      <c r="F107" s="48">
        <f t="shared" si="8"/>
        <v>100</v>
      </c>
      <c r="G107" s="36">
        <v>459</v>
      </c>
      <c r="H107" s="48">
        <f t="shared" si="9"/>
        <v>60.78431372549019</v>
      </c>
      <c r="I107" s="82">
        <f>D107-май!D107</f>
        <v>82.6</v>
      </c>
    </row>
    <row r="108" spans="1:9" ht="12.75">
      <c r="A108" s="8" t="s">
        <v>44</v>
      </c>
      <c r="B108" s="82">
        <v>52827.8</v>
      </c>
      <c r="C108" s="71">
        <v>23747.3</v>
      </c>
      <c r="D108" s="71">
        <v>23747.3</v>
      </c>
      <c r="E108" s="48">
        <f t="shared" si="7"/>
        <v>44.95227891375374</v>
      </c>
      <c r="F108" s="48">
        <f t="shared" si="8"/>
        <v>100</v>
      </c>
      <c r="G108" s="36">
        <v>20888.4</v>
      </c>
      <c r="H108" s="48">
        <f t="shared" si="9"/>
        <v>113.68654372761915</v>
      </c>
      <c r="I108" s="82">
        <f>D108-май!D108</f>
        <v>13824.5</v>
      </c>
    </row>
    <row r="109" spans="1:9" ht="12.75">
      <c r="A109" s="8" t="s">
        <v>45</v>
      </c>
      <c r="B109" s="82">
        <v>176250.3</v>
      </c>
      <c r="C109" s="71">
        <v>80759.5</v>
      </c>
      <c r="D109" s="71">
        <v>80604.3</v>
      </c>
      <c r="E109" s="48">
        <f t="shared" si="7"/>
        <v>45.732858327049655</v>
      </c>
      <c r="F109" s="48">
        <f t="shared" si="8"/>
        <v>99.80782446647144</v>
      </c>
      <c r="G109" s="28">
        <v>73346.6</v>
      </c>
      <c r="H109" s="48">
        <f t="shared" si="9"/>
        <v>109.89507352760728</v>
      </c>
      <c r="I109" s="82">
        <f>D109-май!D109</f>
        <v>16850.700000000004</v>
      </c>
    </row>
    <row r="110" spans="1:9" ht="25.5">
      <c r="A110" s="11" t="s">
        <v>46</v>
      </c>
      <c r="B110" s="30">
        <f>B111+B112</f>
        <v>330795.5</v>
      </c>
      <c r="C110" s="30">
        <f>C111+C112</f>
        <v>73961.3</v>
      </c>
      <c r="D110" s="30">
        <f>D111+D112</f>
        <v>73960.7</v>
      </c>
      <c r="E110" s="86">
        <f t="shared" si="7"/>
        <v>22.358435952121475</v>
      </c>
      <c r="F110" s="86">
        <f t="shared" si="8"/>
        <v>99.99918876493517</v>
      </c>
      <c r="G110" s="35">
        <f>G111+G112</f>
        <v>69918.9</v>
      </c>
      <c r="H110" s="86">
        <f t="shared" si="9"/>
        <v>105.78069735078786</v>
      </c>
      <c r="I110" s="82">
        <f>D110-май!D110</f>
        <v>16279.099999999999</v>
      </c>
    </row>
    <row r="111" spans="1:9" ht="12.75">
      <c r="A111" s="8" t="s">
        <v>47</v>
      </c>
      <c r="B111" s="82">
        <v>245920.6</v>
      </c>
      <c r="C111" s="71">
        <v>72396.8</v>
      </c>
      <c r="D111" s="71">
        <v>72396.8</v>
      </c>
      <c r="E111" s="48">
        <f t="shared" si="7"/>
        <v>29.43909538281868</v>
      </c>
      <c r="F111" s="48">
        <f t="shared" si="8"/>
        <v>100</v>
      </c>
      <c r="G111" s="36">
        <v>68277.9</v>
      </c>
      <c r="H111" s="48">
        <f t="shared" si="9"/>
        <v>106.0325522606876</v>
      </c>
      <c r="I111" s="82">
        <f>D111-май!D111</f>
        <v>15917.700000000004</v>
      </c>
    </row>
    <row r="112" spans="1:9" ht="25.5">
      <c r="A112" s="8" t="s">
        <v>48</v>
      </c>
      <c r="B112" s="82">
        <v>84874.9</v>
      </c>
      <c r="C112" s="71">
        <v>1564.5</v>
      </c>
      <c r="D112" s="71">
        <v>1563.9</v>
      </c>
      <c r="E112" s="48">
        <f t="shared" si="7"/>
        <v>1.8425942180786077</v>
      </c>
      <c r="F112" s="48">
        <f t="shared" si="8"/>
        <v>99.96164908916587</v>
      </c>
      <c r="G112" s="36">
        <v>1641</v>
      </c>
      <c r="H112" s="48">
        <f t="shared" si="9"/>
        <v>95.30164533820842</v>
      </c>
      <c r="I112" s="82">
        <f>D112-май!D112</f>
        <v>361.4000000000001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 t="shared" si="7"/>
        <v>80.74565883554646</v>
      </c>
      <c r="F113" s="86">
        <v>0</v>
      </c>
      <c r="G113" s="35">
        <f>G114</f>
        <v>42.5</v>
      </c>
      <c r="H113" s="48">
        <v>0</v>
      </c>
      <c r="I113" s="82">
        <f>D113-май!D113</f>
        <v>0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 t="shared" si="7"/>
        <v>80.74565883554646</v>
      </c>
      <c r="F114" s="48">
        <v>0</v>
      </c>
      <c r="G114" s="36">
        <v>42.5</v>
      </c>
      <c r="H114" s="48">
        <v>0</v>
      </c>
      <c r="I114" s="82">
        <f>D114-май!D114</f>
        <v>0</v>
      </c>
    </row>
    <row r="115" spans="1:9" ht="12.75">
      <c r="A115" s="11" t="s">
        <v>49</v>
      </c>
      <c r="B115" s="30">
        <f>B116+B117+B118+B119+B120</f>
        <v>179680.44999999998</v>
      </c>
      <c r="C115" s="30">
        <f>C116+C117+C118+C119+C120</f>
        <v>45417.3</v>
      </c>
      <c r="D115" s="30">
        <f>D116+D117+D118+D119+D120</f>
        <v>45318.3</v>
      </c>
      <c r="E115" s="86">
        <f t="shared" si="7"/>
        <v>25.221608694768964</v>
      </c>
      <c r="F115" s="86">
        <f>$D:$D/$C:$C*100</f>
        <v>99.78202138832559</v>
      </c>
      <c r="G115" s="35">
        <f>G116+G117+G118+G119+G120</f>
        <v>40109.4</v>
      </c>
      <c r="H115" s="86">
        <f aca="true" t="shared" si="10" ref="H115:H124">$D:$D/$G:$G*100</f>
        <v>112.98673128992208</v>
      </c>
      <c r="I115" s="82">
        <f>D115-май!D115</f>
        <v>9052.900000000001</v>
      </c>
    </row>
    <row r="116" spans="1:9" ht="12.75">
      <c r="A116" s="8" t="s">
        <v>50</v>
      </c>
      <c r="B116" s="82">
        <f>2909750/1000</f>
        <v>2909.75</v>
      </c>
      <c r="C116" s="71">
        <v>1079</v>
      </c>
      <c r="D116" s="71">
        <v>1079</v>
      </c>
      <c r="E116" s="48">
        <f t="shared" si="7"/>
        <v>37.082223558724976</v>
      </c>
      <c r="F116" s="48">
        <v>0</v>
      </c>
      <c r="G116" s="36">
        <v>1175.8</v>
      </c>
      <c r="H116" s="48">
        <f t="shared" si="10"/>
        <v>91.76730736519816</v>
      </c>
      <c r="I116" s="82">
        <f>D116-май!D116</f>
        <v>212.10000000000002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 t="shared" si="7"/>
        <v>#DIV/0!</v>
      </c>
      <c r="F117" s="48" t="e">
        <f>$D:$D/$C:$C*100</f>
        <v>#DIV/0!</v>
      </c>
      <c r="G117" s="36">
        <v>0</v>
      </c>
      <c r="H117" s="48" t="e">
        <f t="shared" si="10"/>
        <v>#DIV/0!</v>
      </c>
      <c r="I117" s="82">
        <f>D117-май!D117</f>
        <v>0</v>
      </c>
    </row>
    <row r="118" spans="1:9" ht="12.75">
      <c r="A118" s="8" t="s">
        <v>52</v>
      </c>
      <c r="B118" s="85">
        <v>90352</v>
      </c>
      <c r="C118" s="71">
        <v>37095.3</v>
      </c>
      <c r="D118" s="71">
        <v>37095.3</v>
      </c>
      <c r="E118" s="48">
        <f t="shared" si="7"/>
        <v>41.05642376483088</v>
      </c>
      <c r="F118" s="48">
        <v>0</v>
      </c>
      <c r="G118" s="36">
        <v>35944</v>
      </c>
      <c r="H118" s="48">
        <f t="shared" si="10"/>
        <v>103.20303805920321</v>
      </c>
      <c r="I118" s="82">
        <f>D118-май!D118</f>
        <v>5973.000000000004</v>
      </c>
    </row>
    <row r="119" spans="1:9" ht="12.75">
      <c r="A119" s="8" t="s">
        <v>53</v>
      </c>
      <c r="B119" s="82">
        <v>83991.4</v>
      </c>
      <c r="C119" s="71">
        <v>6270.2</v>
      </c>
      <c r="D119" s="71">
        <v>6219.6</v>
      </c>
      <c r="E119" s="48">
        <f t="shared" si="7"/>
        <v>7.405043849727473</v>
      </c>
      <c r="F119" s="48">
        <f>$D:$D/$C:$C*100</f>
        <v>99.19300819750568</v>
      </c>
      <c r="G119" s="28">
        <v>2139.1</v>
      </c>
      <c r="H119" s="48">
        <f t="shared" si="10"/>
        <v>290.7577953344865</v>
      </c>
      <c r="I119" s="82">
        <f>D119-май!D119</f>
        <v>2675.4000000000005</v>
      </c>
    </row>
    <row r="120" spans="1:9" ht="12.75">
      <c r="A120" s="8" t="s">
        <v>54</v>
      </c>
      <c r="B120" s="82">
        <v>2427.3</v>
      </c>
      <c r="C120" s="71">
        <v>972.8</v>
      </c>
      <c r="D120" s="71">
        <v>924.4</v>
      </c>
      <c r="E120" s="48">
        <f t="shared" si="7"/>
        <v>38.083467226959996</v>
      </c>
      <c r="F120" s="48"/>
      <c r="G120" s="36">
        <v>850.5</v>
      </c>
      <c r="H120" s="48">
        <f t="shared" si="10"/>
        <v>108.68900646678424</v>
      </c>
      <c r="I120" s="82">
        <f>D120-май!D120</f>
        <v>192.39999999999998</v>
      </c>
    </row>
    <row r="121" spans="1:9" ht="12.75">
      <c r="A121" s="11" t="s">
        <v>61</v>
      </c>
      <c r="B121" s="87">
        <f>B122+B123+B124</f>
        <v>225753.4</v>
      </c>
      <c r="C121" s="87">
        <f>C122+C123+C124</f>
        <v>107478.5</v>
      </c>
      <c r="D121" s="87">
        <f>D122+D123+D124</f>
        <v>107244</v>
      </c>
      <c r="E121" s="86">
        <f t="shared" si="7"/>
        <v>47.504932373111544</v>
      </c>
      <c r="F121" s="86">
        <f>$D:$D/$C:$C*100</f>
        <v>99.78181682848198</v>
      </c>
      <c r="G121" s="27">
        <f>G122+G123+G124</f>
        <v>39324.8</v>
      </c>
      <c r="H121" s="86">
        <f t="shared" si="10"/>
        <v>272.71340222963624</v>
      </c>
      <c r="I121" s="82">
        <f>D121-май!D121</f>
        <v>11578.600000000006</v>
      </c>
    </row>
    <row r="122" spans="1:9" ht="12.75">
      <c r="A122" s="41" t="s">
        <v>62</v>
      </c>
      <c r="B122" s="85">
        <v>101162</v>
      </c>
      <c r="C122" s="71">
        <v>43741.7</v>
      </c>
      <c r="D122" s="71">
        <v>43741.7</v>
      </c>
      <c r="E122" s="48">
        <f t="shared" si="7"/>
        <v>43.23925980111108</v>
      </c>
      <c r="F122" s="48">
        <f>$D:$D/$C:$C*100</f>
        <v>100</v>
      </c>
      <c r="G122" s="28">
        <v>34878.2</v>
      </c>
      <c r="H122" s="48">
        <f t="shared" si="10"/>
        <v>125.41272198679978</v>
      </c>
      <c r="I122" s="82">
        <f>D122-май!D122</f>
        <v>10910.5</v>
      </c>
    </row>
    <row r="123" spans="1:9" ht="24.75" customHeight="1">
      <c r="A123" s="12" t="s">
        <v>63</v>
      </c>
      <c r="B123" s="85">
        <v>120270.8</v>
      </c>
      <c r="C123" s="71">
        <v>61707.3</v>
      </c>
      <c r="D123" s="71">
        <v>61707.3</v>
      </c>
      <c r="E123" s="48">
        <v>0</v>
      </c>
      <c r="F123" s="48">
        <v>0</v>
      </c>
      <c r="G123" s="28">
        <v>2521.8</v>
      </c>
      <c r="H123" s="48">
        <f t="shared" si="10"/>
        <v>2446.954556269331</v>
      </c>
      <c r="I123" s="82">
        <f>D123-май!D123</f>
        <v>505.20000000000437</v>
      </c>
    </row>
    <row r="124" spans="1:9" ht="25.5">
      <c r="A124" s="12" t="s">
        <v>73</v>
      </c>
      <c r="B124" s="85">
        <v>4320.6</v>
      </c>
      <c r="C124" s="71">
        <v>2029.5</v>
      </c>
      <c r="D124" s="71">
        <v>1795</v>
      </c>
      <c r="E124" s="48">
        <f>$D:$D/$B:$B*100</f>
        <v>41.54515576540295</v>
      </c>
      <c r="F124" s="48">
        <f>$D:$D/$C:$C*100</f>
        <v>88.44542990884455</v>
      </c>
      <c r="G124" s="28">
        <v>1924.8</v>
      </c>
      <c r="H124" s="48">
        <f t="shared" si="10"/>
        <v>93.25644222776393</v>
      </c>
      <c r="I124" s="82">
        <f>D124-май!D124</f>
        <v>162.9000000000001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D125-май!D125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D126-май!D126</f>
        <v>0</v>
      </c>
    </row>
    <row r="127" spans="1:9" ht="15.75" customHeight="1">
      <c r="A127" s="14" t="s">
        <v>55</v>
      </c>
      <c r="B127" s="30">
        <f>B78+B87+B88+B89+B95+B103+B110+B113+B115+B121+B125+B100</f>
        <v>4210442.850000001</v>
      </c>
      <c r="C127" s="30">
        <f>C78+C87+C88+C89+C95+C103+C110+C113+C115+C121+C125+C100</f>
        <v>1269432.6138400002</v>
      </c>
      <c r="D127" s="30">
        <f>D78+D87+D88+D89+D95+D103+D110+D113+D115+D121+D125+D100</f>
        <v>1264762.3138400002</v>
      </c>
      <c r="E127" s="86">
        <f>$D:$D/$B:$B*100</f>
        <v>30.038700414613157</v>
      </c>
      <c r="F127" s="86">
        <f>$D:$D/$C:$C*100</f>
        <v>99.63209547721699</v>
      </c>
      <c r="G127" s="35">
        <f>G125+G121+G115+G113+G110+G103+G100+G95+G89+G88+G87+G78</f>
        <v>1140418.3</v>
      </c>
      <c r="H127" s="86">
        <f>$D:$D/$G:$G*100</f>
        <v>110.90336886386338</v>
      </c>
      <c r="I127" s="82">
        <f>D127-май!D127</f>
        <v>317839.70000000007</v>
      </c>
    </row>
    <row r="128" spans="1:9" ht="26.25" customHeight="1">
      <c r="A128" s="15" t="s">
        <v>56</v>
      </c>
      <c r="B128" s="30">
        <f>B72-B127</f>
        <v>-98681.73000000045</v>
      </c>
      <c r="C128" s="30">
        <f>C72-C127</f>
        <v>180462.96615999984</v>
      </c>
      <c r="D128" s="30">
        <f>D72-D127</f>
        <v>28635.586159999715</v>
      </c>
      <c r="E128" s="30"/>
      <c r="F128" s="30"/>
      <c r="G128" s="30">
        <f>G76-G127</f>
        <v>-1140418.3</v>
      </c>
      <c r="H128" s="30"/>
      <c r="I128" s="82">
        <f>D128-май!D128</f>
        <v>-13765.000000000116</v>
      </c>
    </row>
    <row r="129" spans="1:9" ht="24" customHeight="1">
      <c r="A129" s="1" t="s">
        <v>57</v>
      </c>
      <c r="B129" s="85" t="s">
        <v>165</v>
      </c>
      <c r="C129" s="85"/>
      <c r="D129" s="85" t="s">
        <v>173</v>
      </c>
      <c r="E129" s="85"/>
      <c r="F129" s="85"/>
      <c r="G129" s="28" t="s">
        <v>172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59457.4</v>
      </c>
      <c r="E130" s="85"/>
      <c r="F130" s="85"/>
      <c r="G130" s="27">
        <f>G132+G133</f>
        <v>33889.5</v>
      </c>
      <c r="H130" s="85"/>
      <c r="I130" s="82">
        <f>D130-май!D130</f>
        <v>-13764.999999999993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D131-май!D131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43549.5</v>
      </c>
      <c r="E132" s="85"/>
      <c r="F132" s="85"/>
      <c r="G132" s="44">
        <v>13818.5</v>
      </c>
      <c r="H132" s="85"/>
      <c r="I132" s="82">
        <f>D132-май!D132</f>
        <v>773.1999999999971</v>
      </c>
    </row>
    <row r="133" spans="1:9" ht="12.75">
      <c r="A133" s="1" t="s">
        <v>60</v>
      </c>
      <c r="B133" s="89">
        <f>Март!B131</f>
        <v>17979.4</v>
      </c>
      <c r="C133" s="85"/>
      <c r="D133" s="85">
        <f>59457.4-D132</f>
        <v>15907.900000000001</v>
      </c>
      <c r="E133" s="85"/>
      <c r="F133" s="85"/>
      <c r="G133" s="44">
        <f>33889.5-G132</f>
        <v>20071</v>
      </c>
      <c r="H133" s="85"/>
      <c r="I133" s="82">
        <f>D133-май!D133</f>
        <v>-14538.199999999997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v>0</v>
      </c>
      <c r="H134" s="90"/>
      <c r="I134" s="82">
        <f>D134-май!D134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D135-май!D135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D136-май!D136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5" sqref="H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175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413130.77999999997</v>
      </c>
      <c r="D7" s="30">
        <f>D8+D16+D21+D26+D29+D36++D45+D46+D47+D51+D62</f>
        <v>403607.49999999994</v>
      </c>
      <c r="E7" s="86">
        <f aca="true" t="shared" si="0" ref="E7:E22">$D:$D/$B:$B*100</f>
        <v>55.20434940913569</v>
      </c>
      <c r="F7" s="86">
        <v>27699.089999999997</v>
      </c>
      <c r="G7" s="35">
        <f>G8+G16+G21+G26+G29+G33+G36+G45+G46+G47+G51+G62</f>
        <v>337188.33999999985</v>
      </c>
      <c r="H7" s="86">
        <f aca="true" t="shared" si="1" ref="H7:H48">$D:$D/$G:$G*100</f>
        <v>119.6979409193094</v>
      </c>
      <c r="I7" s="30">
        <f>D7-Июнь!D7</f>
        <v>70802.69999999995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220229.48</v>
      </c>
      <c r="D8" s="86">
        <f>D9+D10-0.1</f>
        <v>214581.4</v>
      </c>
      <c r="E8" s="86">
        <f t="shared" si="0"/>
        <v>56.292815170680925</v>
      </c>
      <c r="F8" s="86">
        <v>10645.39</v>
      </c>
      <c r="G8" s="26">
        <f>G9+G10</f>
        <v>161961.40999999997</v>
      </c>
      <c r="H8" s="86">
        <f t="shared" si="1"/>
        <v>132.4892145604314</v>
      </c>
      <c r="I8" s="30">
        <f>D8-Июнь!D8</f>
        <v>35068.80000000002</v>
      </c>
    </row>
    <row r="9" spans="1:9" ht="25.5">
      <c r="A9" s="53" t="s">
        <v>5</v>
      </c>
      <c r="B9" s="87">
        <v>8446.3</v>
      </c>
      <c r="C9" s="87">
        <v>4700</v>
      </c>
      <c r="D9" s="87">
        <v>3143.7</v>
      </c>
      <c r="E9" s="86">
        <f t="shared" si="0"/>
        <v>37.21984774398258</v>
      </c>
      <c r="F9" s="86">
        <v>200.86</v>
      </c>
      <c r="G9" s="27">
        <v>6406.969999999999</v>
      </c>
      <c r="H9" s="86">
        <f t="shared" si="1"/>
        <v>49.066875605785576</v>
      </c>
      <c r="I9" s="30">
        <f>D9-Июнь!D9</f>
        <v>1680.1999999999998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215529.48</v>
      </c>
      <c r="D10" s="92">
        <f>SUM(D11:D15)</f>
        <v>211437.8</v>
      </c>
      <c r="E10" s="86">
        <f t="shared" si="0"/>
        <v>56.725034179173996</v>
      </c>
      <c r="F10" s="86">
        <v>10444.529999999999</v>
      </c>
      <c r="G10" s="46">
        <f>SUM(G11:G15)</f>
        <v>155554.43999999997</v>
      </c>
      <c r="H10" s="86">
        <f t="shared" si="1"/>
        <v>135.92527477839914</v>
      </c>
      <c r="I10" s="30">
        <f>D10-Июнь!D10</f>
        <v>33388.600000000006</v>
      </c>
    </row>
    <row r="11" spans="1:9" ht="51">
      <c r="A11" s="56" t="s">
        <v>74</v>
      </c>
      <c r="B11" s="85">
        <v>313856.6</v>
      </c>
      <c r="C11" s="85">
        <v>159944.2</v>
      </c>
      <c r="D11" s="85">
        <v>154008.8</v>
      </c>
      <c r="E11" s="86">
        <f t="shared" si="0"/>
        <v>49.06979811799401</v>
      </c>
      <c r="F11" s="86">
        <v>10058</v>
      </c>
      <c r="G11" s="28">
        <v>145631.34</v>
      </c>
      <c r="H11" s="48">
        <f t="shared" si="1"/>
        <v>105.75251178764131</v>
      </c>
      <c r="I11" s="30">
        <f>D11-Июнь!D11</f>
        <v>29992.59999999999</v>
      </c>
    </row>
    <row r="12" spans="1:9" ht="94.5" customHeight="1">
      <c r="A12" s="56" t="s">
        <v>75</v>
      </c>
      <c r="B12" s="85">
        <v>6481.5</v>
      </c>
      <c r="C12" s="85">
        <v>5350</v>
      </c>
      <c r="D12" s="85">
        <v>1089.9</v>
      </c>
      <c r="E12" s="86">
        <f t="shared" si="0"/>
        <v>16.815551955565844</v>
      </c>
      <c r="F12" s="86">
        <v>81.56</v>
      </c>
      <c r="G12" s="28">
        <v>5392.370000000001</v>
      </c>
      <c r="H12" s="48">
        <f t="shared" si="1"/>
        <v>20.21189198812396</v>
      </c>
      <c r="I12" s="30">
        <f>D12-Июнь!D12</f>
        <v>943.1000000000001</v>
      </c>
    </row>
    <row r="13" spans="1:9" ht="25.5">
      <c r="A13" s="56" t="s">
        <v>76</v>
      </c>
      <c r="B13" s="85">
        <v>3576.4</v>
      </c>
      <c r="C13" s="85">
        <v>2755</v>
      </c>
      <c r="D13" s="85">
        <v>3977.3</v>
      </c>
      <c r="E13" s="86">
        <f t="shared" si="0"/>
        <v>111.20959624203111</v>
      </c>
      <c r="F13" s="86">
        <v>117.15</v>
      </c>
      <c r="G13" s="28">
        <v>2734.99</v>
      </c>
      <c r="H13" s="48">
        <f t="shared" si="1"/>
        <v>145.4228351840409</v>
      </c>
      <c r="I13" s="30">
        <f>D13-Июнь!D13</f>
        <v>1060.9</v>
      </c>
    </row>
    <row r="14" spans="1:9" ht="63.75">
      <c r="A14" s="56" t="s">
        <v>78</v>
      </c>
      <c r="B14" s="85">
        <f>2580100/1000</f>
        <v>2580.1</v>
      </c>
      <c r="C14" s="85">
        <v>1233.3</v>
      </c>
      <c r="D14" s="85">
        <v>2251.2</v>
      </c>
      <c r="E14" s="86">
        <f t="shared" si="0"/>
        <v>87.25243207627611</v>
      </c>
      <c r="F14" s="86">
        <v>187.82</v>
      </c>
      <c r="G14" s="28">
        <v>1213.08</v>
      </c>
      <c r="H14" s="48">
        <f t="shared" si="1"/>
        <v>185.57720842813333</v>
      </c>
      <c r="I14" s="30">
        <f>D14-Июнь!D14</f>
        <v>355.9999999999998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50110.6</v>
      </c>
      <c r="E15" s="86">
        <f t="shared" si="0"/>
        <v>108.35427162842994</v>
      </c>
      <c r="F15" s="86"/>
      <c r="G15" s="28">
        <v>582.66</v>
      </c>
      <c r="H15" s="48">
        <f t="shared" si="1"/>
        <v>8600.315793086878</v>
      </c>
      <c r="I15" s="30">
        <f>D15-Июнь!D15</f>
        <v>1036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30563</v>
      </c>
      <c r="D16" s="87">
        <f>SUM(D17:D20)</f>
        <v>35731.2</v>
      </c>
      <c r="E16" s="86">
        <f t="shared" si="0"/>
        <v>64.27862128516946</v>
      </c>
      <c r="F16" s="86">
        <v>1853.18</v>
      </c>
      <c r="G16" s="35">
        <f>G17+G18+G19+G20</f>
        <v>13426.690000000002</v>
      </c>
      <c r="H16" s="86">
        <f t="shared" si="1"/>
        <v>266.1206894625555</v>
      </c>
      <c r="I16" s="30">
        <f>D16-Июнь!D16</f>
        <v>5626.499999999996</v>
      </c>
    </row>
    <row r="17" spans="1:9" ht="37.5" customHeight="1">
      <c r="A17" s="39" t="s">
        <v>83</v>
      </c>
      <c r="B17" s="82">
        <v>25133.1</v>
      </c>
      <c r="C17" s="82">
        <v>13435.6</v>
      </c>
      <c r="D17" s="82">
        <v>17466.4</v>
      </c>
      <c r="E17" s="86">
        <f t="shared" si="0"/>
        <v>69.49560539686709</v>
      </c>
      <c r="F17" s="86">
        <v>844.23</v>
      </c>
      <c r="G17" s="28">
        <v>6033.07</v>
      </c>
      <c r="H17" s="48">
        <f t="shared" si="1"/>
        <v>289.5109786559745</v>
      </c>
      <c r="I17" s="30">
        <f>D17-Июнь!D17</f>
        <v>2648.2000000000007</v>
      </c>
    </row>
    <row r="18" spans="1:9" ht="56.25" customHeight="1">
      <c r="A18" s="39" t="s">
        <v>84</v>
      </c>
      <c r="B18" s="82">
        <v>139.1</v>
      </c>
      <c r="C18" s="82">
        <v>81.3</v>
      </c>
      <c r="D18" s="82">
        <v>102.8</v>
      </c>
      <c r="E18" s="86">
        <f t="shared" si="0"/>
        <v>73.90366642703091</v>
      </c>
      <c r="F18" s="86">
        <v>5.74</v>
      </c>
      <c r="G18" s="28">
        <v>45.22</v>
      </c>
      <c r="H18" s="48">
        <f t="shared" si="1"/>
        <v>227.33303847854933</v>
      </c>
      <c r="I18" s="30">
        <f>D18-Июнь!D18</f>
        <v>15.599999999999994</v>
      </c>
    </row>
    <row r="19" spans="1:9" ht="55.5" customHeight="1">
      <c r="A19" s="39" t="s">
        <v>85</v>
      </c>
      <c r="B19" s="82">
        <v>33467.4</v>
      </c>
      <c r="C19" s="82">
        <v>18990</v>
      </c>
      <c r="D19" s="82">
        <v>20184.3</v>
      </c>
      <c r="E19" s="86">
        <f t="shared" si="0"/>
        <v>60.310331845318125</v>
      </c>
      <c r="F19" s="86">
        <v>1158.41</v>
      </c>
      <c r="G19" s="28">
        <v>8450.45</v>
      </c>
      <c r="H19" s="48">
        <f t="shared" si="1"/>
        <v>238.8547355466277</v>
      </c>
      <c r="I19" s="30">
        <f>D19-Июнь!D19</f>
        <v>3114.7000000000007</v>
      </c>
    </row>
    <row r="20" spans="1:9" ht="15.75" customHeight="1">
      <c r="A20" s="39" t="s">
        <v>86</v>
      </c>
      <c r="B20" s="82">
        <v>-3151.6</v>
      </c>
      <c r="C20" s="82">
        <v>-1943.9</v>
      </c>
      <c r="D20" s="82">
        <v>-2022.3</v>
      </c>
      <c r="E20" s="86">
        <f t="shared" si="0"/>
        <v>64.16740703134916</v>
      </c>
      <c r="F20" s="86">
        <v>-155.2</v>
      </c>
      <c r="G20" s="28">
        <v>-1102.0500000000002</v>
      </c>
      <c r="H20" s="48">
        <f t="shared" si="1"/>
        <v>183.50347080440991</v>
      </c>
      <c r="I20" s="30">
        <f>D20-Июнь!D20</f>
        <v>-152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95791.9</v>
      </c>
      <c r="D21" s="87">
        <f>SUM(D22:D25)</f>
        <v>86683.59999999999</v>
      </c>
      <c r="E21" s="86">
        <f t="shared" si="0"/>
        <v>64.58490573066649</v>
      </c>
      <c r="F21" s="86">
        <v>7362.96</v>
      </c>
      <c r="G21" s="35">
        <f>G22+G24+G25+G23</f>
        <v>91253.33999999998</v>
      </c>
      <c r="H21" s="86">
        <f t="shared" si="1"/>
        <v>94.99224905082927</v>
      </c>
      <c r="I21" s="30">
        <f>D21-Июнь!D21</f>
        <v>18799.29999999999</v>
      </c>
    </row>
    <row r="22" spans="1:9" ht="28.5" customHeight="1">
      <c r="A22" s="56" t="s">
        <v>146</v>
      </c>
      <c r="B22" s="85">
        <v>110640.7</v>
      </c>
      <c r="C22" s="85">
        <v>78930</v>
      </c>
      <c r="D22" s="85">
        <v>71819.2</v>
      </c>
      <c r="E22" s="86">
        <f t="shared" si="0"/>
        <v>64.91209835078773</v>
      </c>
      <c r="F22" s="86"/>
      <c r="G22" s="28">
        <v>69448.23999999999</v>
      </c>
      <c r="H22" s="48">
        <f t="shared" si="1"/>
        <v>103.41399580464532</v>
      </c>
      <c r="I22" s="30">
        <f>D22-Июнь!D22</f>
        <v>18110.799999999996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9.9</v>
      </c>
      <c r="E23" s="86">
        <v>0</v>
      </c>
      <c r="F23" s="86">
        <v>7198.75</v>
      </c>
      <c r="G23" s="28">
        <v>7200.01</v>
      </c>
      <c r="H23" s="48">
        <f t="shared" si="1"/>
        <v>0.137499809028043</v>
      </c>
      <c r="I23" s="30">
        <f>D23-Июнь!D23</f>
        <v>-23.6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295.8</v>
      </c>
      <c r="E24" s="86">
        <f aca="true" t="shared" si="2" ref="E24:E47">$D:$D/$B:$B*100</f>
        <v>23.759036144578314</v>
      </c>
      <c r="F24" s="86">
        <v>113.58</v>
      </c>
      <c r="G24" s="28">
        <v>1147.95</v>
      </c>
      <c r="H24" s="48">
        <f t="shared" si="1"/>
        <v>25.76767280804913</v>
      </c>
      <c r="I24" s="30">
        <f>D24-Июнь!D24</f>
        <v>6.400000000000034</v>
      </c>
    </row>
    <row r="25" spans="1:9" ht="27" customHeight="1">
      <c r="A25" s="56" t="s">
        <v>88</v>
      </c>
      <c r="B25" s="85">
        <v>22330.8</v>
      </c>
      <c r="C25" s="85">
        <v>15616.9</v>
      </c>
      <c r="D25" s="85">
        <v>14558.7</v>
      </c>
      <c r="E25" s="86">
        <f t="shared" si="2"/>
        <v>65.19560427750014</v>
      </c>
      <c r="F25" s="86">
        <v>50.63</v>
      </c>
      <c r="G25" s="28">
        <v>13457.14</v>
      </c>
      <c r="H25" s="48">
        <f t="shared" si="1"/>
        <v>108.18569175917023</v>
      </c>
      <c r="I25" s="30">
        <f>D25-Июнь!D25</f>
        <v>705.7000000000007</v>
      </c>
    </row>
    <row r="26" spans="1:9" ht="12.75">
      <c r="A26" s="59" t="s">
        <v>8</v>
      </c>
      <c r="B26" s="87">
        <f>SUM(B27:B28)</f>
        <v>42549</v>
      </c>
      <c r="C26" s="87">
        <f>SUM(C27:C28)</f>
        <v>10569</v>
      </c>
      <c r="D26" s="87">
        <f>SUM(D27:D28)</f>
        <v>10563.5</v>
      </c>
      <c r="E26" s="86">
        <f t="shared" si="2"/>
        <v>24.82667042703706</v>
      </c>
      <c r="F26" s="86">
        <v>2465.82</v>
      </c>
      <c r="G26" s="35">
        <f>SUM(G27:G28)</f>
        <v>10062.22</v>
      </c>
      <c r="H26" s="86">
        <f t="shared" si="1"/>
        <v>104.9818032203629</v>
      </c>
      <c r="I26" s="30">
        <f>D26-Июнь!D26</f>
        <v>2170.5</v>
      </c>
    </row>
    <row r="27" spans="1:9" ht="12.75">
      <c r="A27" s="56" t="s">
        <v>106</v>
      </c>
      <c r="B27" s="82">
        <v>25216.8</v>
      </c>
      <c r="C27" s="82">
        <v>3308.9</v>
      </c>
      <c r="D27" s="82">
        <v>3827.9</v>
      </c>
      <c r="E27" s="86">
        <f t="shared" si="2"/>
        <v>15.179959392151265</v>
      </c>
      <c r="F27" s="86">
        <v>536.1</v>
      </c>
      <c r="G27" s="28">
        <v>2776.0299999999997</v>
      </c>
      <c r="H27" s="48">
        <f t="shared" si="1"/>
        <v>137.8911611185758</v>
      </c>
      <c r="I27" s="30">
        <f>D27-Июнь!D27</f>
        <v>656.7000000000003</v>
      </c>
    </row>
    <row r="28" spans="1:9" ht="12.75">
      <c r="A28" s="56" t="s">
        <v>107</v>
      </c>
      <c r="B28" s="85">
        <f>17332.2</f>
        <v>17332.2</v>
      </c>
      <c r="C28" s="85">
        <v>7260.1</v>
      </c>
      <c r="D28" s="85">
        <v>6735.6</v>
      </c>
      <c r="E28" s="86">
        <f t="shared" si="2"/>
        <v>38.86177173122858</v>
      </c>
      <c r="F28" s="86">
        <v>1929.72</v>
      </c>
      <c r="G28" s="28">
        <v>7286.19</v>
      </c>
      <c r="H28" s="48">
        <f t="shared" si="1"/>
        <v>92.44337575605358</v>
      </c>
      <c r="I28" s="30">
        <f>D28-Июнь!D28</f>
        <v>1513.8000000000002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9265</v>
      </c>
      <c r="D29" s="87">
        <f>SUM(D30:D32)</f>
        <v>9365.5</v>
      </c>
      <c r="E29" s="86">
        <f t="shared" si="2"/>
        <v>58.15094222470585</v>
      </c>
      <c r="F29" s="86">
        <v>793.07</v>
      </c>
      <c r="G29" s="35">
        <f>G30+G32+G31</f>
        <v>8990.81</v>
      </c>
      <c r="H29" s="86">
        <f t="shared" si="1"/>
        <v>104.16747767998658</v>
      </c>
      <c r="I29" s="30">
        <f>D29-Июнь!D29</f>
        <v>1549.4000000000005</v>
      </c>
    </row>
    <row r="30" spans="1:9" ht="25.5">
      <c r="A30" s="56" t="s">
        <v>10</v>
      </c>
      <c r="B30" s="85">
        <v>15988.3</v>
      </c>
      <c r="C30" s="85">
        <v>9200</v>
      </c>
      <c r="D30" s="85">
        <v>9270.7</v>
      </c>
      <c r="E30" s="86">
        <f t="shared" si="2"/>
        <v>57.98427600182634</v>
      </c>
      <c r="F30" s="86">
        <v>793.07</v>
      </c>
      <c r="G30" s="28">
        <v>8872.41</v>
      </c>
      <c r="H30" s="48">
        <f t="shared" si="1"/>
        <v>104.48908470190175</v>
      </c>
      <c r="I30" s="30">
        <f>D30-Июнь!D30</f>
        <v>1543.000000000001</v>
      </c>
    </row>
    <row r="31" spans="1:9" ht="25.5">
      <c r="A31" s="56" t="s">
        <v>91</v>
      </c>
      <c r="B31" s="81">
        <f>67200/1000</f>
        <v>67.2</v>
      </c>
      <c r="C31" s="81">
        <v>40</v>
      </c>
      <c r="D31" s="81">
        <v>44.8</v>
      </c>
      <c r="E31" s="86">
        <f t="shared" si="2"/>
        <v>66.66666666666666</v>
      </c>
      <c r="F31" s="86">
        <v>0</v>
      </c>
      <c r="G31" s="28">
        <v>80</v>
      </c>
      <c r="H31" s="48">
        <f t="shared" si="1"/>
        <v>55.99999999999999</v>
      </c>
      <c r="I31" s="30">
        <f>D31-Июнь!D31</f>
        <v>6.399999999999999</v>
      </c>
    </row>
    <row r="32" spans="1:9" ht="25.5">
      <c r="A32" s="56" t="s">
        <v>90</v>
      </c>
      <c r="B32" s="81">
        <f>50000/1000</f>
        <v>50</v>
      </c>
      <c r="C32" s="81">
        <v>25</v>
      </c>
      <c r="D32" s="81">
        <v>50</v>
      </c>
      <c r="E32" s="86">
        <f t="shared" si="2"/>
        <v>100</v>
      </c>
      <c r="F32" s="86">
        <v>0</v>
      </c>
      <c r="G32" s="28">
        <v>38.4</v>
      </c>
      <c r="H32" s="48">
        <f t="shared" si="1"/>
        <v>130.20833333333334</v>
      </c>
      <c r="I32" s="30">
        <f>D32-Июнь!D32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 t="shared" si="2"/>
        <v>#DIV/0!</v>
      </c>
      <c r="F33" s="86">
        <v>0</v>
      </c>
      <c r="G33" s="35">
        <f>G34+G35</f>
        <v>16.67</v>
      </c>
      <c r="H33" s="48">
        <f t="shared" si="1"/>
        <v>0.11997600479904018</v>
      </c>
      <c r="I33" s="30">
        <f>D33-Июнь!D33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 t="shared" si="2"/>
        <v>#DIV/0!</v>
      </c>
      <c r="F34" s="86">
        <v>0</v>
      </c>
      <c r="G34" s="28">
        <v>14.9</v>
      </c>
      <c r="H34" s="48">
        <f t="shared" si="1"/>
        <v>0.1342281879194631</v>
      </c>
      <c r="I34" s="30">
        <f>D34-Июнь!D34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 t="shared" si="2"/>
        <v>#DIV/0!</v>
      </c>
      <c r="F35" s="86">
        <v>0</v>
      </c>
      <c r="G35" s="28">
        <v>1.77</v>
      </c>
      <c r="H35" s="48">
        <f t="shared" si="1"/>
        <v>0</v>
      </c>
      <c r="I35" s="30">
        <f>D35-Июнь!D35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33594.6</v>
      </c>
      <c r="D36" s="87">
        <f>SUM(D38:D44)</f>
        <v>30785.699999999997</v>
      </c>
      <c r="E36" s="86">
        <f t="shared" si="2"/>
        <v>41.85660445082556</v>
      </c>
      <c r="F36" s="86">
        <v>3247.05</v>
      </c>
      <c r="G36" s="35">
        <f>G37+G39+G40+G41+G43+G44+G38+G42</f>
        <v>40763.82000000001</v>
      </c>
      <c r="H36" s="86">
        <f t="shared" si="1"/>
        <v>75.52211740705359</v>
      </c>
      <c r="I36" s="30">
        <f>D36-Июнь!D36</f>
        <v>6635.0999999999985</v>
      </c>
    </row>
    <row r="37" spans="1:9" ht="81.75" customHeight="1" hidden="1">
      <c r="A37" s="56" t="s">
        <v>114</v>
      </c>
      <c r="B37" s="85"/>
      <c r="C37" s="85"/>
      <c r="D37" s="85"/>
      <c r="E37" s="86" t="e">
        <f t="shared" si="2"/>
        <v>#DIV/0!</v>
      </c>
      <c r="F37" s="86"/>
      <c r="G37" s="28"/>
      <c r="H37" s="48" t="e">
        <f t="shared" si="1"/>
        <v>#DIV/0!</v>
      </c>
      <c r="I37" s="30">
        <f>D37-Июнь!D37</f>
        <v>0</v>
      </c>
    </row>
    <row r="38" spans="1:9" ht="76.5">
      <c r="A38" s="56" t="s">
        <v>117</v>
      </c>
      <c r="B38" s="85">
        <v>37670.9</v>
      </c>
      <c r="C38" s="85">
        <v>18500</v>
      </c>
      <c r="D38" s="85">
        <v>17434.6</v>
      </c>
      <c r="E38" s="86">
        <f t="shared" si="2"/>
        <v>46.28134714063109</v>
      </c>
      <c r="F38" s="86">
        <v>2393.3</v>
      </c>
      <c r="G38" s="28">
        <v>25809.920000000002</v>
      </c>
      <c r="H38" s="48">
        <f t="shared" si="1"/>
        <v>67.5499962804999</v>
      </c>
      <c r="I38" s="30">
        <f>D38-Июнь!D38</f>
        <v>4076.499999999998</v>
      </c>
    </row>
    <row r="39" spans="1:9" ht="76.5">
      <c r="A39" s="56" t="s">
        <v>125</v>
      </c>
      <c r="B39" s="82">
        <v>7265</v>
      </c>
      <c r="C39" s="82">
        <v>1997</v>
      </c>
      <c r="D39" s="82">
        <v>2433.6</v>
      </c>
      <c r="E39" s="86">
        <f t="shared" si="2"/>
        <v>33.49759119064005</v>
      </c>
      <c r="F39" s="86">
        <v>75.44</v>
      </c>
      <c r="G39" s="28">
        <v>864.23</v>
      </c>
      <c r="H39" s="48">
        <f t="shared" si="1"/>
        <v>281.59170591162075</v>
      </c>
      <c r="I39" s="30">
        <f>D39-Июнь!D39</f>
        <v>314</v>
      </c>
    </row>
    <row r="40" spans="1:9" ht="76.5">
      <c r="A40" s="56" t="s">
        <v>118</v>
      </c>
      <c r="B40" s="82">
        <v>428</v>
      </c>
      <c r="C40" s="82">
        <v>246.4</v>
      </c>
      <c r="D40" s="82">
        <v>278.1</v>
      </c>
      <c r="E40" s="86">
        <f t="shared" si="2"/>
        <v>64.9766355140187</v>
      </c>
      <c r="F40" s="86">
        <v>3.43</v>
      </c>
      <c r="G40" s="28">
        <v>254.80000000000007</v>
      </c>
      <c r="H40" s="48">
        <f t="shared" si="1"/>
        <v>109.14442700156984</v>
      </c>
      <c r="I40" s="30">
        <f>D40-Июнь!D40</f>
        <v>44.80000000000001</v>
      </c>
    </row>
    <row r="41" spans="1:9" ht="38.25">
      <c r="A41" s="56" t="s">
        <v>119</v>
      </c>
      <c r="B41" s="82">
        <v>21306.5</v>
      </c>
      <c r="C41" s="82">
        <v>7714.7</v>
      </c>
      <c r="D41" s="82">
        <v>8396</v>
      </c>
      <c r="E41" s="86">
        <f t="shared" si="2"/>
        <v>39.40581512683923</v>
      </c>
      <c r="F41" s="86">
        <v>538.73</v>
      </c>
      <c r="G41" s="28">
        <v>8190.880000000001</v>
      </c>
      <c r="H41" s="48">
        <f t="shared" si="1"/>
        <v>102.50424862774206</v>
      </c>
      <c r="I41" s="30">
        <f>D41-Июнь!D41</f>
        <v>1914.5</v>
      </c>
    </row>
    <row r="42" spans="1:9" ht="51">
      <c r="A42" s="56" t="s">
        <v>147</v>
      </c>
      <c r="B42" s="82">
        <v>64.2</v>
      </c>
      <c r="C42" s="82">
        <v>37.8</v>
      </c>
      <c r="D42" s="82">
        <v>10.4</v>
      </c>
      <c r="E42" s="86">
        <f t="shared" si="2"/>
        <v>16.1993769470405</v>
      </c>
      <c r="F42" s="86"/>
      <c r="G42" s="28">
        <v>16.68</v>
      </c>
      <c r="H42" s="48">
        <f t="shared" si="1"/>
        <v>62.35011990407674</v>
      </c>
      <c r="I42" s="30">
        <f>D42-Июнь!D42</f>
        <v>1.9000000000000004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 t="shared" si="2"/>
        <v>17.458692791343765</v>
      </c>
      <c r="F43" s="86">
        <v>0</v>
      </c>
      <c r="G43" s="28">
        <v>2879.96</v>
      </c>
      <c r="H43" s="48">
        <f t="shared" si="1"/>
        <v>16.583563660606398</v>
      </c>
      <c r="I43" s="30">
        <f>D43-Июнь!D43</f>
        <v>0</v>
      </c>
    </row>
    <row r="44" spans="1:9" ht="76.5">
      <c r="A44" s="60" t="s">
        <v>121</v>
      </c>
      <c r="B44" s="82">
        <v>4080.2</v>
      </c>
      <c r="C44" s="82">
        <v>2363.1</v>
      </c>
      <c r="D44" s="82">
        <v>1755.4</v>
      </c>
      <c r="E44" s="86">
        <f t="shared" si="2"/>
        <v>43.02240086270282</v>
      </c>
      <c r="F44" s="86">
        <v>236.15</v>
      </c>
      <c r="G44" s="28">
        <v>2747.35</v>
      </c>
      <c r="H44" s="48">
        <f t="shared" si="1"/>
        <v>63.89429814184579</v>
      </c>
      <c r="I44" s="30">
        <f>D44-Июнь!D44</f>
        <v>283.4000000000001</v>
      </c>
    </row>
    <row r="45" spans="1:9" ht="27" customHeight="1">
      <c r="A45" s="53" t="s">
        <v>13</v>
      </c>
      <c r="B45" s="87">
        <v>766.9</v>
      </c>
      <c r="C45" s="87">
        <v>712.6</v>
      </c>
      <c r="D45" s="87">
        <v>555</v>
      </c>
      <c r="E45" s="86">
        <f t="shared" si="2"/>
        <v>72.36927891511279</v>
      </c>
      <c r="F45" s="86">
        <v>43.6</v>
      </c>
      <c r="G45" s="27">
        <v>422.06000000000006</v>
      </c>
      <c r="H45" s="86">
        <f t="shared" si="1"/>
        <v>131.49789129507653</v>
      </c>
      <c r="I45" s="30">
        <f>D45-Июнь!D45</f>
        <v>146.60000000000002</v>
      </c>
    </row>
    <row r="46" spans="1:9" ht="25.5">
      <c r="A46" s="53" t="s">
        <v>96</v>
      </c>
      <c r="B46" s="87">
        <v>9478.5</v>
      </c>
      <c r="C46" s="87">
        <v>8594.4</v>
      </c>
      <c r="D46" s="87">
        <v>9372.8</v>
      </c>
      <c r="E46" s="86">
        <f t="shared" si="2"/>
        <v>98.88484464841483</v>
      </c>
      <c r="F46" s="86">
        <v>561.58</v>
      </c>
      <c r="G46" s="27">
        <v>851.57</v>
      </c>
      <c r="H46" s="86">
        <f t="shared" si="1"/>
        <v>1100.6493887760253</v>
      </c>
      <c r="I46" s="30">
        <f>D46-Июнь!D46</f>
        <v>118</v>
      </c>
    </row>
    <row r="47" spans="1:9" ht="25.5">
      <c r="A47" s="59" t="s">
        <v>14</v>
      </c>
      <c r="B47" s="87">
        <f>SUM(B48:B50)</f>
        <v>12400</v>
      </c>
      <c r="C47" s="87">
        <f>SUM(C48:C50)</f>
        <v>2127</v>
      </c>
      <c r="D47" s="87">
        <f>SUM(D48:D50)</f>
        <v>1841</v>
      </c>
      <c r="E47" s="86">
        <f t="shared" si="2"/>
        <v>14.846774193548388</v>
      </c>
      <c r="F47" s="86">
        <v>585.5</v>
      </c>
      <c r="G47" s="35">
        <f>G48+G49+G50</f>
        <v>3060.0999999999995</v>
      </c>
      <c r="H47" s="86">
        <f t="shared" si="1"/>
        <v>60.16143263292051</v>
      </c>
      <c r="I47" s="30">
        <f>D47-Июнь!D47</f>
        <v>372.5999999999999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 t="shared" si="1"/>
        <v>0</v>
      </c>
      <c r="I48" s="30">
        <f>D48-Июнь!D48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2012.34</v>
      </c>
      <c r="H49" s="48">
        <v>0</v>
      </c>
      <c r="I49" s="30">
        <f>D49-Июнь!D49</f>
        <v>0</v>
      </c>
    </row>
    <row r="50" spans="1:9" ht="14.25" customHeight="1">
      <c r="A50" s="60" t="s">
        <v>93</v>
      </c>
      <c r="B50" s="83">
        <v>3900</v>
      </c>
      <c r="C50" s="83">
        <v>2127</v>
      </c>
      <c r="D50" s="83">
        <v>1841</v>
      </c>
      <c r="E50" s="86">
        <f aca="true" t="shared" si="3" ref="E50:E72">$D:$D/$B:$B*100</f>
        <v>47.205128205128204</v>
      </c>
      <c r="F50" s="86">
        <v>548.36</v>
      </c>
      <c r="G50" s="28">
        <v>995.0699999999999</v>
      </c>
      <c r="H50" s="48">
        <f aca="true" t="shared" si="4" ref="H50:H69">$D:$D/$G:$G*100</f>
        <v>185.01210970082508</v>
      </c>
      <c r="I50" s="30">
        <f>D50-Июнь!D50</f>
        <v>372.5999999999999</v>
      </c>
    </row>
    <row r="51" spans="1:9" ht="12.75">
      <c r="A51" s="53" t="s">
        <v>15</v>
      </c>
      <c r="B51" s="85">
        <v>5222.7</v>
      </c>
      <c r="C51" s="85">
        <v>1654.6</v>
      </c>
      <c r="D51" s="85">
        <v>4043</v>
      </c>
      <c r="E51" s="86">
        <f t="shared" si="3"/>
        <v>77.412066555613</v>
      </c>
      <c r="F51" s="86">
        <v>179.73</v>
      </c>
      <c r="G51" s="35">
        <v>6353.29</v>
      </c>
      <c r="H51" s="86">
        <f t="shared" si="4"/>
        <v>63.63632070942772</v>
      </c>
      <c r="I51" s="30">
        <f>D51-Июнь!D51</f>
        <v>231.0999999999999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 t="shared" si="3"/>
        <v>0</v>
      </c>
      <c r="F52" s="86"/>
      <c r="G52" s="28"/>
      <c r="H52" s="48" t="e">
        <f t="shared" si="4"/>
        <v>#DIV/0!</v>
      </c>
      <c r="I52" s="30">
        <f>D52-Июнь!D52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 t="shared" si="3"/>
        <v>0</v>
      </c>
      <c r="F53" s="86"/>
      <c r="G53" s="28"/>
      <c r="H53" s="48" t="e">
        <f t="shared" si="4"/>
        <v>#DIV/0!</v>
      </c>
      <c r="I53" s="30">
        <f>D53-Июнь!D53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 t="shared" si="3"/>
        <v>0</v>
      </c>
      <c r="F54" s="86"/>
      <c r="G54" s="28"/>
      <c r="H54" s="48" t="e">
        <f t="shared" si="4"/>
        <v>#DIV/0!</v>
      </c>
      <c r="I54" s="30">
        <f>D54-Июнь!D54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 t="shared" si="3"/>
        <v>0</v>
      </c>
      <c r="F55" s="86"/>
      <c r="G55" s="28"/>
      <c r="H55" s="48" t="e">
        <f t="shared" si="4"/>
        <v>#DIV/0!</v>
      </c>
      <c r="I55" s="30">
        <f>D55-Июнь!D55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 t="shared" si="3"/>
        <v>0</v>
      </c>
      <c r="F56" s="86"/>
      <c r="G56" s="28"/>
      <c r="H56" s="48" t="e">
        <f t="shared" si="4"/>
        <v>#DIV/0!</v>
      </c>
      <c r="I56" s="30">
        <f>D56-Июнь!D56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 t="shared" si="3"/>
        <v>0</v>
      </c>
      <c r="F57" s="86"/>
      <c r="G57" s="28"/>
      <c r="H57" s="48" t="e">
        <f t="shared" si="4"/>
        <v>#DIV/0!</v>
      </c>
      <c r="I57" s="30">
        <f>D57-Июнь!D57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 t="shared" si="3"/>
        <v>0</v>
      </c>
      <c r="F58" s="86"/>
      <c r="G58" s="28"/>
      <c r="H58" s="48" t="e">
        <f t="shared" si="4"/>
        <v>#DIV/0!</v>
      </c>
      <c r="I58" s="30">
        <f>D58-Июнь!D58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 t="shared" si="3"/>
        <v>0</v>
      </c>
      <c r="F59" s="86"/>
      <c r="G59" s="28"/>
      <c r="H59" s="48" t="e">
        <f t="shared" si="4"/>
        <v>#DIV/0!</v>
      </c>
      <c r="I59" s="30">
        <f>D59-Июнь!D59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 t="shared" si="3"/>
        <v>0</v>
      </c>
      <c r="F60" s="86"/>
      <c r="G60" s="28"/>
      <c r="H60" s="48" t="e">
        <f t="shared" si="4"/>
        <v>#DIV/0!</v>
      </c>
      <c r="I60" s="30">
        <f>D60-Июнь!D60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 t="shared" si="3"/>
        <v>0</v>
      </c>
      <c r="F61" s="86"/>
      <c r="G61" s="28"/>
      <c r="H61" s="48" t="e">
        <f t="shared" si="4"/>
        <v>#DIV/0!</v>
      </c>
      <c r="I61" s="30">
        <f>D61-Июнь!D61</f>
        <v>0</v>
      </c>
    </row>
    <row r="62" spans="1:9" ht="12.75">
      <c r="A62" s="52" t="s">
        <v>16</v>
      </c>
      <c r="B62" s="81">
        <v>50</v>
      </c>
      <c r="C62" s="81">
        <v>29.2</v>
      </c>
      <c r="D62" s="81">
        <v>84.8</v>
      </c>
      <c r="E62" s="86">
        <f t="shared" si="3"/>
        <v>169.6</v>
      </c>
      <c r="F62" s="86">
        <v>-38.79</v>
      </c>
      <c r="G62" s="27">
        <v>26.36</v>
      </c>
      <c r="H62" s="86">
        <f t="shared" si="4"/>
        <v>321.6995447647951</v>
      </c>
      <c r="I62" s="30">
        <f>D62-Июнь!D62</f>
        <v>84.8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413130.78</v>
      </c>
      <c r="D63" s="87">
        <f>D62+D51+D47+D46+D45+D36+D29+D26+D21+D16+D8</f>
        <v>403607.5</v>
      </c>
      <c r="E63" s="86">
        <f t="shared" si="3"/>
        <v>55.20434940913569</v>
      </c>
      <c r="F63" s="86">
        <v>27699.089999999997</v>
      </c>
      <c r="G63" s="35">
        <f>G8+G16+G21+G26+G29+G33+G36+G45+G46+G47+G62+G51</f>
        <v>337188.33999999985</v>
      </c>
      <c r="H63" s="86">
        <f t="shared" si="4"/>
        <v>119.69794091930943</v>
      </c>
      <c r="I63" s="30">
        <f>D63-Июнь!D63</f>
        <v>70802.70000000001</v>
      </c>
    </row>
    <row r="64" spans="1:9" ht="12.75">
      <c r="A64" s="59" t="s">
        <v>18</v>
      </c>
      <c r="B64" s="85">
        <f>B65+B70+B71</f>
        <v>3444801.2</v>
      </c>
      <c r="C64" s="85">
        <f>C65+C70+C71</f>
        <v>1296102.5</v>
      </c>
      <c r="D64" s="85">
        <f>D65+D70+D71</f>
        <v>1227090.8</v>
      </c>
      <c r="E64" s="86">
        <f t="shared" si="3"/>
        <v>35.62152730323015</v>
      </c>
      <c r="F64" s="86">
        <v>43822.57000000001</v>
      </c>
      <c r="G64" s="35">
        <f>G65+G71+G70</f>
        <v>1005409.1800000002</v>
      </c>
      <c r="H64" s="86">
        <f t="shared" si="4"/>
        <v>122.04889555514103</v>
      </c>
      <c r="I64" s="30">
        <f>D64-Июнь!D64</f>
        <v>266497.70000000007</v>
      </c>
    </row>
    <row r="65" spans="1:9" ht="25.5">
      <c r="A65" s="59" t="s">
        <v>19</v>
      </c>
      <c r="B65" s="85">
        <f>SUM(B66:B69)</f>
        <v>3423218.8000000003</v>
      </c>
      <c r="C65" s="85">
        <f>SUM(C66:C69)</f>
        <v>1314475.4</v>
      </c>
      <c r="D65" s="85">
        <f>SUM(D66:D69)</f>
        <v>1245463.7</v>
      </c>
      <c r="E65" s="86">
        <f t="shared" si="3"/>
        <v>36.382824843097964</v>
      </c>
      <c r="F65" s="86">
        <v>46091.770000000004</v>
      </c>
      <c r="G65" s="35">
        <f>G66+G67+G69+G68</f>
        <v>1008254.4800000002</v>
      </c>
      <c r="H65" s="86">
        <f t="shared" si="4"/>
        <v>123.52672115079515</v>
      </c>
      <c r="I65" s="30">
        <f>D65-Июнь!D65</f>
        <v>266497.69999999995</v>
      </c>
    </row>
    <row r="66" spans="1:9" ht="12.75">
      <c r="A66" s="56" t="s">
        <v>108</v>
      </c>
      <c r="B66" s="85">
        <v>480567.2</v>
      </c>
      <c r="C66" s="85">
        <v>276995.5</v>
      </c>
      <c r="D66" s="85">
        <v>270862.6</v>
      </c>
      <c r="E66" s="86">
        <f t="shared" si="3"/>
        <v>56.363105929826254</v>
      </c>
      <c r="F66" s="86">
        <v>15902.8</v>
      </c>
      <c r="G66" s="28">
        <v>246536.6</v>
      </c>
      <c r="H66" s="48">
        <f t="shared" si="4"/>
        <v>109.86709478430382</v>
      </c>
      <c r="I66" s="30">
        <f>D66-Июнь!D66</f>
        <v>46276.49999999997</v>
      </c>
    </row>
    <row r="67" spans="1:9" ht="12.75" customHeight="1">
      <c r="A67" s="56" t="s">
        <v>109</v>
      </c>
      <c r="B67" s="85">
        <v>1717439.6</v>
      </c>
      <c r="C67" s="85">
        <v>383167.3</v>
      </c>
      <c r="D67" s="85">
        <v>314099.9</v>
      </c>
      <c r="E67" s="86">
        <f t="shared" si="3"/>
        <v>18.288846955665868</v>
      </c>
      <c r="F67" s="86">
        <v>0</v>
      </c>
      <c r="G67" s="28">
        <v>137803.23</v>
      </c>
      <c r="H67" s="48">
        <f t="shared" si="4"/>
        <v>227.93362680976347</v>
      </c>
      <c r="I67" s="30">
        <f>D67-Июнь!D67</f>
        <v>144619.7</v>
      </c>
    </row>
    <row r="68" spans="1:9" ht="18.75" customHeight="1">
      <c r="A68" s="56" t="s">
        <v>110</v>
      </c>
      <c r="B68" s="85">
        <v>1165868.6</v>
      </c>
      <c r="C68" s="85">
        <v>622265.2</v>
      </c>
      <c r="D68" s="85">
        <v>625199.4</v>
      </c>
      <c r="E68" s="86">
        <f t="shared" si="3"/>
        <v>53.625202702946105</v>
      </c>
      <c r="F68" s="86">
        <v>30188.97</v>
      </c>
      <c r="G68" s="28">
        <v>593842.7600000001</v>
      </c>
      <c r="H68" s="48">
        <f t="shared" si="4"/>
        <v>105.28029338944873</v>
      </c>
      <c r="I68" s="30">
        <f>D68-Июнь!D68</f>
        <v>66800.80000000005</v>
      </c>
    </row>
    <row r="69" spans="1:9" ht="12.75" customHeight="1">
      <c r="A69" s="2" t="s">
        <v>122</v>
      </c>
      <c r="B69" s="82">
        <v>59343.4</v>
      </c>
      <c r="C69" s="82">
        <v>32047.4</v>
      </c>
      <c r="D69" s="82">
        <v>35301.8</v>
      </c>
      <c r="E69" s="86">
        <f t="shared" si="3"/>
        <v>59.487322937344345</v>
      </c>
      <c r="F69" s="86">
        <v>0</v>
      </c>
      <c r="G69" s="28">
        <v>30071.89</v>
      </c>
      <c r="H69" s="48">
        <f t="shared" si="4"/>
        <v>117.39135784282266</v>
      </c>
      <c r="I69" s="30">
        <f>D69-Июнь!D69</f>
        <v>8800.700000000004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 t="shared" si="3"/>
        <v>0</v>
      </c>
      <c r="F70" s="86">
        <v>0</v>
      </c>
      <c r="G70" s="28"/>
      <c r="H70" s="48">
        <v>0</v>
      </c>
      <c r="I70" s="30">
        <f>D70-Июнь!D70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 t="shared" si="3"/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D71-Июнь!D71</f>
        <v>0</v>
      </c>
    </row>
    <row r="72" spans="1:9" ht="12.75">
      <c r="A72" s="52" t="s">
        <v>20</v>
      </c>
      <c r="B72" s="87">
        <f>B63+B64</f>
        <v>4175916.6</v>
      </c>
      <c r="C72" s="87">
        <f>C63+C64</f>
        <v>1709233.28</v>
      </c>
      <c r="D72" s="87">
        <f>D63+D64</f>
        <v>1630698.3</v>
      </c>
      <c r="E72" s="86">
        <f t="shared" si="3"/>
        <v>39.05006867234849</v>
      </c>
      <c r="F72" s="86">
        <v>71521.66</v>
      </c>
      <c r="G72" s="35">
        <f>G64+G63</f>
        <v>1342597.52</v>
      </c>
      <c r="H72" s="86">
        <f>$D:$D/$G:$G*100</f>
        <v>121.4584621011366</v>
      </c>
      <c r="I72" s="30">
        <f>D72-Июнь!D72</f>
        <v>337300.40000000014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0">
        <f>B79+B80+B81+B82+B83+B84+B85+B86</f>
        <v>452248.13</v>
      </c>
      <c r="C78" s="30">
        <f>C79+C80+C81+C82+C83+C84+C85+C86</f>
        <v>95251.25</v>
      </c>
      <c r="D78" s="30">
        <f>D79+D80+D81+D82+D83+D84+D85+D86</f>
        <v>91910.70999999999</v>
      </c>
      <c r="E78" s="86">
        <f>$D:$D/$B:$B*100</f>
        <v>20.32307131927776</v>
      </c>
      <c r="F78" s="86">
        <f>$D:$D/$C:$C*100</f>
        <v>96.49291741578193</v>
      </c>
      <c r="G78" s="35">
        <f>G79+G80+G81+G82+G83+G84+G85+G86</f>
        <v>73097.7</v>
      </c>
      <c r="H78" s="86">
        <f aca="true" t="shared" si="5" ref="H78:H83">$D:$D/$G:$G*100</f>
        <v>125.73680156831199</v>
      </c>
      <c r="I78" s="30">
        <f>I79+I80+I81+I82+I83+I84+I85+I86</f>
        <v>11711.409999999998</v>
      </c>
    </row>
    <row r="79" spans="1:9" ht="14.25" customHeight="1">
      <c r="A79" s="8" t="s">
        <v>24</v>
      </c>
      <c r="B79" s="82">
        <v>2984.6</v>
      </c>
      <c r="C79" s="71">
        <v>1489.84</v>
      </c>
      <c r="D79" s="71">
        <v>1379.07</v>
      </c>
      <c r="E79" s="48">
        <f>$D:$D/$B:$B*100</f>
        <v>46.20619178449373</v>
      </c>
      <c r="F79" s="48">
        <v>0</v>
      </c>
      <c r="G79" s="36">
        <v>1432.5</v>
      </c>
      <c r="H79" s="48">
        <f t="shared" si="5"/>
        <v>96.27015706806283</v>
      </c>
      <c r="I79" s="82">
        <f>D79-Июнь!D79</f>
        <v>316.16999999999985</v>
      </c>
    </row>
    <row r="80" spans="1:9" ht="12.75">
      <c r="A80" s="8" t="s">
        <v>25</v>
      </c>
      <c r="B80" s="82">
        <v>6999.03</v>
      </c>
      <c r="C80" s="71">
        <v>3933.09</v>
      </c>
      <c r="D80" s="71">
        <v>3524.3</v>
      </c>
      <c r="E80" s="48">
        <f>$D:$D/$B:$B*100</f>
        <v>50.354120499554945</v>
      </c>
      <c r="F80" s="48">
        <f>$D:$D/$C:$C*100</f>
        <v>89.60639090384406</v>
      </c>
      <c r="G80" s="36">
        <v>3651.6</v>
      </c>
      <c r="H80" s="48">
        <f t="shared" si="5"/>
        <v>96.51385693942383</v>
      </c>
      <c r="I80" s="82">
        <f>D80-Июнь!D80</f>
        <v>663.7000000000003</v>
      </c>
    </row>
    <row r="81" spans="1:9" ht="25.5">
      <c r="A81" s="8" t="s">
        <v>26</v>
      </c>
      <c r="B81" s="82">
        <v>68688.22</v>
      </c>
      <c r="C81" s="71">
        <v>34379.91</v>
      </c>
      <c r="D81" s="71">
        <v>32635.92</v>
      </c>
      <c r="E81" s="48">
        <f>$D:$D/$B:$B*100</f>
        <v>47.51312524913296</v>
      </c>
      <c r="F81" s="48">
        <f>$D:$D/$C:$C*100</f>
        <v>94.92729911160325</v>
      </c>
      <c r="G81" s="36">
        <v>34016.7</v>
      </c>
      <c r="H81" s="48">
        <f t="shared" si="5"/>
        <v>95.9408760990925</v>
      </c>
      <c r="I81" s="82">
        <f>D81-Июнь!D81</f>
        <v>4922.32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 t="shared" si="5"/>
        <v>598.5915492957747</v>
      </c>
      <c r="I82" s="82">
        <f>D82-Июнь!D82</f>
        <v>0</v>
      </c>
    </row>
    <row r="83" spans="1:9" ht="25.5">
      <c r="A83" s="1" t="s">
        <v>27</v>
      </c>
      <c r="B83" s="85">
        <v>16486.49</v>
      </c>
      <c r="C83" s="71">
        <v>9116.96</v>
      </c>
      <c r="D83" s="71">
        <v>8304.28</v>
      </c>
      <c r="E83" s="48">
        <f>$D:$D/$B:$B*100</f>
        <v>50.370212216184285</v>
      </c>
      <c r="F83" s="48">
        <v>0</v>
      </c>
      <c r="G83" s="28">
        <v>8379.9</v>
      </c>
      <c r="H83" s="48">
        <f t="shared" si="5"/>
        <v>99.09760259668971</v>
      </c>
      <c r="I83" s="82">
        <f>D83-Июнь!D83</f>
        <v>1515.4800000000005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D84-Июнь!D84</f>
        <v>0</v>
      </c>
    </row>
    <row r="85" spans="1:9" ht="12.75">
      <c r="A85" s="8" t="s">
        <v>29</v>
      </c>
      <c r="B85" s="82">
        <v>1679.75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D85-Июнь!D85</f>
        <v>0</v>
      </c>
    </row>
    <row r="86" spans="1:9" ht="12.75">
      <c r="A86" s="1" t="s">
        <v>30</v>
      </c>
      <c r="B86" s="82">
        <v>346582.34</v>
      </c>
      <c r="C86" s="71">
        <v>37661.45</v>
      </c>
      <c r="D86" s="71">
        <v>37397.14</v>
      </c>
      <c r="E86" s="48">
        <f>$D:$D/$B:$B*100</f>
        <v>10.790261269515348</v>
      </c>
      <c r="F86" s="48">
        <f>$D:$D/$C:$C*100</f>
        <v>99.2981948384887</v>
      </c>
      <c r="G86" s="36">
        <v>25588.6</v>
      </c>
      <c r="H86" s="48">
        <f>$D:$D/$G:$G*100</f>
        <v>146.14765950462316</v>
      </c>
      <c r="I86" s="82">
        <f>D86-Июнь!D86</f>
        <v>4293.739999999998</v>
      </c>
    </row>
    <row r="87" spans="1:9" ht="12.75">
      <c r="A87" s="7" t="s">
        <v>31</v>
      </c>
      <c r="B87" s="87">
        <v>428.6</v>
      </c>
      <c r="C87" s="94">
        <v>245.23</v>
      </c>
      <c r="D87" s="94">
        <v>245.23</v>
      </c>
      <c r="E87" s="86">
        <f>$D:$D/$B:$B*100</f>
        <v>57.21651889874008</v>
      </c>
      <c r="F87" s="86">
        <f>$D:$D/$C:$C*100</f>
        <v>100</v>
      </c>
      <c r="G87" s="35">
        <v>199.5</v>
      </c>
      <c r="H87" s="86">
        <f>$D:$D/$G:$G*100</f>
        <v>122.92230576441104</v>
      </c>
      <c r="I87" s="82">
        <f>D87-Июнь!D87</f>
        <v>3.329999999999984</v>
      </c>
    </row>
    <row r="88" spans="1:9" ht="25.5">
      <c r="A88" s="9" t="s">
        <v>32</v>
      </c>
      <c r="B88" s="87">
        <v>13233.59</v>
      </c>
      <c r="C88" s="94">
        <v>3407.49</v>
      </c>
      <c r="D88" s="94">
        <v>3407.49</v>
      </c>
      <c r="E88" s="86">
        <f>$D:$D/$B:$B*100</f>
        <v>25.748795300443795</v>
      </c>
      <c r="F88" s="86">
        <f>$D:$D/$C:$C*100</f>
        <v>100</v>
      </c>
      <c r="G88" s="27">
        <v>2407.6</v>
      </c>
      <c r="H88" s="86">
        <f>$D:$D/$G:$G*100</f>
        <v>141.53056986210333</v>
      </c>
      <c r="I88" s="82">
        <f>D88-Июнь!D88</f>
        <v>434.78999999999996</v>
      </c>
    </row>
    <row r="89" spans="1:9" ht="12.75">
      <c r="A89" s="7" t="s">
        <v>33</v>
      </c>
      <c r="B89" s="30">
        <f>B90+B91+B92+B93+B94</f>
        <v>613550.0399999999</v>
      </c>
      <c r="C89" s="30">
        <f>C90+C91+C92+C93+C94</f>
        <v>163695.06</v>
      </c>
      <c r="D89" s="30">
        <f>D90+D91+D92+D93+D94</f>
        <v>162939.58000000002</v>
      </c>
      <c r="E89" s="86">
        <f>$D:$D/$B:$B*100</f>
        <v>26.55685264073979</v>
      </c>
      <c r="F89" s="86">
        <f>$D:$D/$C:$C*100</f>
        <v>99.53848332380953</v>
      </c>
      <c r="G89" s="35">
        <f>G90+G91+G92+G93+G94</f>
        <v>47891.2</v>
      </c>
      <c r="H89" s="86">
        <f>$D:$D/$G:$G*100</f>
        <v>340.22864325805165</v>
      </c>
      <c r="I89" s="82">
        <f>D89-Июнь!D89</f>
        <v>119701.68000000002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D90-Июнь!D90</f>
        <v>0</v>
      </c>
    </row>
    <row r="91" spans="1:9" ht="12.75" customHeight="1">
      <c r="A91" s="10" t="s">
        <v>67</v>
      </c>
      <c r="B91" s="82">
        <v>34.84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D91-Июнь!D91</f>
        <v>0</v>
      </c>
    </row>
    <row r="92" spans="1:9" ht="12.75">
      <c r="A92" s="8" t="s">
        <v>34</v>
      </c>
      <c r="B92" s="82">
        <v>27875.61</v>
      </c>
      <c r="C92" s="71">
        <v>13821.38</v>
      </c>
      <c r="D92" s="71">
        <v>13821.38</v>
      </c>
      <c r="E92" s="48">
        <f>$D:$D/$B:$B*100</f>
        <v>49.582340978367824</v>
      </c>
      <c r="F92" s="48">
        <v>0</v>
      </c>
      <c r="G92" s="36">
        <v>12953.6</v>
      </c>
      <c r="H92" s="48">
        <f>$D:$D/$G:$G*100</f>
        <v>106.69914155138338</v>
      </c>
      <c r="I92" s="82">
        <f>D92-Июнь!D92</f>
        <v>2290.879999999999</v>
      </c>
    </row>
    <row r="93" spans="1:9" ht="12.75">
      <c r="A93" s="10" t="s">
        <v>77</v>
      </c>
      <c r="B93" s="85">
        <v>541217.73</v>
      </c>
      <c r="C93" s="71">
        <v>136689.21</v>
      </c>
      <c r="D93" s="71">
        <v>136689.2</v>
      </c>
      <c r="E93" s="48">
        <f>$D:$D/$B:$B*100</f>
        <v>25.25586144415484</v>
      </c>
      <c r="F93" s="48">
        <f>$D:$D/$C:$C*100</f>
        <v>99.99999268413362</v>
      </c>
      <c r="G93" s="28">
        <v>29022</v>
      </c>
      <c r="H93" s="48">
        <f>$D:$D/$G:$G*100</f>
        <v>470.9847701743505</v>
      </c>
      <c r="I93" s="82">
        <f>D93-Июнь!D93</f>
        <v>114236.1</v>
      </c>
    </row>
    <row r="94" spans="1:9" ht="12.75">
      <c r="A94" s="8" t="s">
        <v>35</v>
      </c>
      <c r="B94" s="82">
        <v>44421.86</v>
      </c>
      <c r="C94" s="71">
        <v>13184.47</v>
      </c>
      <c r="D94" s="71">
        <v>12429</v>
      </c>
      <c r="E94" s="48">
        <f>$D:$D/$B:$B*100</f>
        <v>27.979467766545568</v>
      </c>
      <c r="F94" s="48">
        <f>$D:$D/$C:$C*100</f>
        <v>94.27000099359323</v>
      </c>
      <c r="G94" s="36">
        <v>5915.6</v>
      </c>
      <c r="H94" s="48">
        <f>$D:$D/$G:$G*100</f>
        <v>210.10548380553112</v>
      </c>
      <c r="I94" s="82">
        <f>D94-Июнь!D94</f>
        <v>3174.7000000000007</v>
      </c>
    </row>
    <row r="95" spans="1:9" ht="12.75">
      <c r="A95" s="7" t="s">
        <v>36</v>
      </c>
      <c r="B95" s="30">
        <f>B97+B98+B99+B96</f>
        <v>739384.8400000001</v>
      </c>
      <c r="C95" s="87">
        <f>C97+C98+C99+C96</f>
        <v>98784.81</v>
      </c>
      <c r="D95" s="30">
        <f>D97+D98+D99+D96</f>
        <v>97875.93</v>
      </c>
      <c r="E95" s="30">
        <f>E98+E99+E96</f>
        <v>39.298032829159354</v>
      </c>
      <c r="F95" s="86">
        <f>$D:$D/$C:$C*100</f>
        <v>99.07993951701684</v>
      </c>
      <c r="G95" s="35">
        <f>G97+G98+G99+G96</f>
        <v>118948.70000000001</v>
      </c>
      <c r="H95" s="30">
        <f>H97+H98+H99</f>
        <v>251.97084685330742</v>
      </c>
      <c r="I95" s="82">
        <f>D95-Июнь!D95</f>
        <v>36319.429999999986</v>
      </c>
    </row>
    <row r="96" spans="1:9" ht="12.75">
      <c r="A96" s="8" t="s">
        <v>37</v>
      </c>
      <c r="B96" s="71">
        <v>39736.31</v>
      </c>
      <c r="C96" s="71">
        <v>4489.4</v>
      </c>
      <c r="D96" s="71">
        <v>4489.4</v>
      </c>
      <c r="E96" s="48">
        <v>0</v>
      </c>
      <c r="F96" s="48">
        <v>0</v>
      </c>
      <c r="G96" s="71">
        <v>34833.1</v>
      </c>
      <c r="H96" s="48">
        <f>$D:$D/$G:$G*100</f>
        <v>12.888315998288983</v>
      </c>
      <c r="I96" s="82">
        <f>D96-Июнь!D96</f>
        <v>2249.9999999999995</v>
      </c>
    </row>
    <row r="97" spans="1:9" ht="12.75">
      <c r="A97" s="8" t="s">
        <v>38</v>
      </c>
      <c r="B97" s="82">
        <v>37372.3</v>
      </c>
      <c r="C97" s="71">
        <v>635.74</v>
      </c>
      <c r="D97" s="71">
        <v>635.75</v>
      </c>
      <c r="E97" s="48">
        <f aca="true" t="shared" si="6" ref="E97:E102">$D:$D/$B:$B*100</f>
        <v>1.7011262352062888</v>
      </c>
      <c r="F97" s="48">
        <v>0</v>
      </c>
      <c r="G97" s="36">
        <v>6475</v>
      </c>
      <c r="H97" s="48">
        <f>$D:$D/$G:$G*100</f>
        <v>9.818532818532818</v>
      </c>
      <c r="I97" s="82">
        <f>D97-Июнь!D97</f>
        <v>452.35</v>
      </c>
    </row>
    <row r="98" spans="1:9" ht="12.75">
      <c r="A98" s="8" t="s">
        <v>39</v>
      </c>
      <c r="B98" s="82">
        <v>472358.64</v>
      </c>
      <c r="C98" s="71">
        <v>30298.98</v>
      </c>
      <c r="D98" s="71">
        <v>30298.98</v>
      </c>
      <c r="E98" s="48">
        <f t="shared" si="6"/>
        <v>6.4144015657255675</v>
      </c>
      <c r="F98" s="48">
        <f>$D:$D/$C:$C*100</f>
        <v>100</v>
      </c>
      <c r="G98" s="36">
        <v>40192</v>
      </c>
      <c r="H98" s="48">
        <f>$D:$D/$G:$G*100</f>
        <v>75.38559912420382</v>
      </c>
      <c r="I98" s="82">
        <f>D98-Июнь!D98</f>
        <v>12293.579999999998</v>
      </c>
    </row>
    <row r="99" spans="2:9" ht="12.75">
      <c r="B99" s="82">
        <v>189917.59</v>
      </c>
      <c r="C99" s="71">
        <v>63360.69</v>
      </c>
      <c r="D99" s="71">
        <v>62451.8</v>
      </c>
      <c r="E99" s="48">
        <f t="shared" si="6"/>
        <v>32.883631263433784</v>
      </c>
      <c r="F99" s="48">
        <f>$D:$D/$C:$C*100</f>
        <v>98.56553014179612</v>
      </c>
      <c r="G99" s="36">
        <v>37448.6</v>
      </c>
      <c r="H99" s="48">
        <f>$D:$D/$G:$G*100</f>
        <v>166.76671491057078</v>
      </c>
      <c r="I99" s="82">
        <f>D99-Июнь!D99</f>
        <v>21323.5</v>
      </c>
    </row>
    <row r="100" spans="1:9" ht="12.75">
      <c r="A100" s="11" t="s">
        <v>115</v>
      </c>
      <c r="B100" s="30">
        <f>B101+B102</f>
        <v>15770.9</v>
      </c>
      <c r="C100" s="30">
        <f>C101+C102</f>
        <v>633.12</v>
      </c>
      <c r="D100" s="30">
        <f>D101+D102</f>
        <v>633.12</v>
      </c>
      <c r="E100" s="86">
        <f t="shared" si="6"/>
        <v>4.0144823694272365</v>
      </c>
      <c r="F100" s="86"/>
      <c r="G100" s="35">
        <f>G101+G102</f>
        <v>282.2</v>
      </c>
      <c r="H100" s="30">
        <f>H101</f>
        <v>224.35152374202696</v>
      </c>
      <c r="I100" s="82">
        <f>D100-Июнь!D100</f>
        <v>223.32</v>
      </c>
    </row>
    <row r="101" spans="1:9" ht="25.5">
      <c r="A101" s="41" t="s">
        <v>143</v>
      </c>
      <c r="B101" s="82">
        <v>1950.59</v>
      </c>
      <c r="C101" s="71">
        <v>633.12</v>
      </c>
      <c r="D101" s="71">
        <v>633.12</v>
      </c>
      <c r="E101" s="48">
        <f t="shared" si="6"/>
        <v>32.45787172086395</v>
      </c>
      <c r="F101" s="48"/>
      <c r="G101" s="82">
        <v>282.2</v>
      </c>
      <c r="H101" s="48">
        <f>$D:$D/$G:$G*100</f>
        <v>224.35152374202696</v>
      </c>
      <c r="I101" s="82">
        <f>D101-Июнь!D101</f>
        <v>223.32</v>
      </c>
    </row>
    <row r="102" spans="1:9" ht="25.5">
      <c r="A102" s="8" t="s">
        <v>169</v>
      </c>
      <c r="B102" s="82">
        <v>13820.31</v>
      </c>
      <c r="C102" s="71">
        <v>0</v>
      </c>
      <c r="D102" s="71">
        <v>0</v>
      </c>
      <c r="E102" s="48">
        <f t="shared" si="6"/>
        <v>0</v>
      </c>
      <c r="F102" s="48"/>
      <c r="G102" s="82">
        <v>0</v>
      </c>
      <c r="H102" s="48">
        <v>0</v>
      </c>
      <c r="I102" s="82">
        <f>D102-Июнь!D102</f>
        <v>0</v>
      </c>
    </row>
    <row r="103" spans="1:9" ht="12.75">
      <c r="A103" s="11" t="s">
        <v>41</v>
      </c>
      <c r="B103" s="30">
        <f>B104+B105+B107+B108+B109+B106</f>
        <v>1711901.3399999999</v>
      </c>
      <c r="C103" s="30">
        <f>C104+C105+C107+C108+C109+C106</f>
        <v>959090.72</v>
      </c>
      <c r="D103" s="30">
        <f>D104+D105+D107+D108+D109+D106</f>
        <v>958800.6</v>
      </c>
      <c r="E103" s="30">
        <f>E104+E105+E108+E109+E107</f>
        <v>245.95256736671112</v>
      </c>
      <c r="F103" s="30">
        <f>F104+F105+F108+F109+F107</f>
        <v>499.7078591422801</v>
      </c>
      <c r="G103" s="35">
        <f>G104+G105+G106+G107+G108+G109</f>
        <v>888392.0999999999</v>
      </c>
      <c r="H103" s="30">
        <f>H104+H105+H108+H109+H107</f>
        <v>488.45835688383863</v>
      </c>
      <c r="I103" s="82">
        <f>D103-Июнь!D103</f>
        <v>109339.49999999988</v>
      </c>
    </row>
    <row r="104" spans="1:9" ht="12.75">
      <c r="A104" s="8" t="s">
        <v>42</v>
      </c>
      <c r="B104" s="82">
        <v>640033.33</v>
      </c>
      <c r="C104" s="71">
        <v>361719.86</v>
      </c>
      <c r="D104" s="71">
        <v>361719.85</v>
      </c>
      <c r="E104" s="48">
        <f aca="true" t="shared" si="7" ref="E104:E122">$D:$D/$B:$B*100</f>
        <v>56.51578332647145</v>
      </c>
      <c r="F104" s="48">
        <f aca="true" t="shared" si="8" ref="F104:F112">$D:$D/$C:$C*100</f>
        <v>99.99999723542965</v>
      </c>
      <c r="G104" s="36">
        <v>336540.5</v>
      </c>
      <c r="H104" s="48">
        <f aca="true" t="shared" si="9" ref="H104:H112">$D:$D/$G:$G*100</f>
        <v>107.4818186815554</v>
      </c>
      <c r="I104" s="82">
        <f>D104-Июнь!D104</f>
        <v>32373.349999999977</v>
      </c>
    </row>
    <row r="105" spans="1:9" ht="12.75">
      <c r="A105" s="8" t="s">
        <v>43</v>
      </c>
      <c r="B105" s="82">
        <v>690420.58</v>
      </c>
      <c r="C105" s="71">
        <v>386002.64</v>
      </c>
      <c r="D105" s="71">
        <v>385988.01</v>
      </c>
      <c r="E105" s="48">
        <f t="shared" si="7"/>
        <v>55.90621444105852</v>
      </c>
      <c r="F105" s="48">
        <f t="shared" si="8"/>
        <v>99.9962098704817</v>
      </c>
      <c r="G105" s="36">
        <v>357255.2</v>
      </c>
      <c r="H105" s="48">
        <f t="shared" si="9"/>
        <v>108.04265690184496</v>
      </c>
      <c r="I105" s="82">
        <f>D105-Июнь!D105</f>
        <v>46679.91000000003</v>
      </c>
    </row>
    <row r="106" spans="1:9" ht="12.75">
      <c r="A106" s="22" t="s">
        <v>105</v>
      </c>
      <c r="B106" s="82">
        <v>152878.71</v>
      </c>
      <c r="C106" s="71">
        <v>86704.9</v>
      </c>
      <c r="D106" s="71">
        <v>86704.89</v>
      </c>
      <c r="E106" s="48">
        <f t="shared" si="7"/>
        <v>56.71482314313092</v>
      </c>
      <c r="F106" s="48">
        <f t="shared" si="8"/>
        <v>99.99998846662646</v>
      </c>
      <c r="G106" s="36">
        <v>78198.8</v>
      </c>
      <c r="H106" s="48">
        <f t="shared" si="9"/>
        <v>110.87751985963979</v>
      </c>
      <c r="I106" s="82">
        <f>D106-Июнь!D106</f>
        <v>10528.990000000005</v>
      </c>
    </row>
    <row r="107" spans="1:9" ht="25.5">
      <c r="A107" s="8" t="s">
        <v>123</v>
      </c>
      <c r="B107" s="82">
        <v>1660.5</v>
      </c>
      <c r="C107" s="71">
        <v>377.17</v>
      </c>
      <c r="D107" s="71">
        <v>377.17</v>
      </c>
      <c r="E107" s="48">
        <f t="shared" si="7"/>
        <v>22.714242697982538</v>
      </c>
      <c r="F107" s="48">
        <f t="shared" si="8"/>
        <v>100</v>
      </c>
      <c r="G107" s="36">
        <v>600.2</v>
      </c>
      <c r="H107" s="48">
        <f t="shared" si="9"/>
        <v>62.84071976007996</v>
      </c>
      <c r="I107" s="82">
        <f>D107-Июнь!D107</f>
        <v>98.17000000000002</v>
      </c>
    </row>
    <row r="108" spans="1:9" ht="12.75">
      <c r="A108" s="8" t="s">
        <v>44</v>
      </c>
      <c r="B108" s="82">
        <v>50657.85</v>
      </c>
      <c r="C108" s="71">
        <v>28760.32</v>
      </c>
      <c r="D108" s="71">
        <v>28760.33</v>
      </c>
      <c r="E108" s="48">
        <f t="shared" si="7"/>
        <v>56.77368857936135</v>
      </c>
      <c r="F108" s="48">
        <f t="shared" si="8"/>
        <v>100.00003477012773</v>
      </c>
      <c r="G108" s="28">
        <v>28469.7</v>
      </c>
      <c r="H108" s="48">
        <f t="shared" si="9"/>
        <v>101.02083969975098</v>
      </c>
      <c r="I108" s="82">
        <f>D108-Июнь!D108</f>
        <v>5013.0300000000025</v>
      </c>
    </row>
    <row r="109" spans="1:9" ht="12.75">
      <c r="A109" s="8" t="s">
        <v>45</v>
      </c>
      <c r="B109" s="82">
        <v>176250.37</v>
      </c>
      <c r="C109" s="71">
        <v>95525.83</v>
      </c>
      <c r="D109" s="71">
        <v>95250.35</v>
      </c>
      <c r="E109" s="48">
        <f t="shared" si="7"/>
        <v>54.04263832183729</v>
      </c>
      <c r="F109" s="48">
        <f t="shared" si="8"/>
        <v>99.71161726624098</v>
      </c>
      <c r="G109" s="28">
        <v>87327.7</v>
      </c>
      <c r="H109" s="48">
        <f t="shared" si="9"/>
        <v>109.07232184060729</v>
      </c>
      <c r="I109" s="82">
        <f>D109-Июнь!D109</f>
        <v>14646.050000000003</v>
      </c>
    </row>
    <row r="110" spans="1:9" ht="25.5">
      <c r="A110" s="11" t="s">
        <v>46</v>
      </c>
      <c r="B110" s="30">
        <f>B111+B112</f>
        <v>330795.51</v>
      </c>
      <c r="C110" s="30">
        <f>C111+C112</f>
        <v>91688.20999999999</v>
      </c>
      <c r="D110" s="30">
        <f>D111+D112</f>
        <v>91551.23</v>
      </c>
      <c r="E110" s="86">
        <f t="shared" si="7"/>
        <v>27.676080004834404</v>
      </c>
      <c r="F110" s="86">
        <f t="shared" si="8"/>
        <v>99.85060238388338</v>
      </c>
      <c r="G110" s="35">
        <f>G111+G112</f>
        <v>79791.20000000001</v>
      </c>
      <c r="H110" s="86">
        <f t="shared" si="9"/>
        <v>114.73850499804487</v>
      </c>
      <c r="I110" s="82">
        <f>D110-Июнь!D110</f>
        <v>17590.53</v>
      </c>
    </row>
    <row r="111" spans="1:9" ht="12.75">
      <c r="A111" s="8" t="s">
        <v>47</v>
      </c>
      <c r="B111" s="82">
        <v>245920.61</v>
      </c>
      <c r="C111" s="71">
        <v>89512.68</v>
      </c>
      <c r="D111" s="71">
        <v>89375.7</v>
      </c>
      <c r="E111" s="48">
        <f t="shared" si="7"/>
        <v>36.343314210224186</v>
      </c>
      <c r="F111" s="48">
        <f t="shared" si="8"/>
        <v>99.84697140114675</v>
      </c>
      <c r="G111" s="36">
        <v>75721.1</v>
      </c>
      <c r="H111" s="48">
        <f t="shared" si="9"/>
        <v>118.0327544105936</v>
      </c>
      <c r="I111" s="82">
        <f>D111-Июнь!D111</f>
        <v>16978.899999999994</v>
      </c>
    </row>
    <row r="112" spans="1:9" ht="25.5">
      <c r="A112" s="8" t="s">
        <v>48</v>
      </c>
      <c r="B112" s="82">
        <v>84874.9</v>
      </c>
      <c r="C112" s="71">
        <v>2175.53</v>
      </c>
      <c r="D112" s="71">
        <v>2175.53</v>
      </c>
      <c r="E112" s="48">
        <f t="shared" si="7"/>
        <v>2.5632195148388983</v>
      </c>
      <c r="F112" s="48">
        <f t="shared" si="8"/>
        <v>100</v>
      </c>
      <c r="G112" s="36">
        <v>4070.1</v>
      </c>
      <c r="H112" s="48">
        <f t="shared" si="9"/>
        <v>53.45151224785633</v>
      </c>
      <c r="I112" s="82">
        <f>D112-Июнь!D112</f>
        <v>611.6300000000001</v>
      </c>
    </row>
    <row r="113" spans="1:9" ht="12.75">
      <c r="A113" s="11" t="s">
        <v>97</v>
      </c>
      <c r="B113" s="30">
        <f>B114</f>
        <v>195.76</v>
      </c>
      <c r="C113" s="30">
        <f>C114</f>
        <v>158.13</v>
      </c>
      <c r="D113" s="30">
        <f>D114</f>
        <v>158.13</v>
      </c>
      <c r="E113" s="86">
        <f t="shared" si="7"/>
        <v>80.77748263179404</v>
      </c>
      <c r="F113" s="86">
        <v>0</v>
      </c>
      <c r="G113" s="35">
        <f>G114</f>
        <v>42.5</v>
      </c>
      <c r="H113" s="48">
        <v>0</v>
      </c>
      <c r="I113" s="82">
        <f>D113-Июнь!D113</f>
        <v>0.030000000000001137</v>
      </c>
    </row>
    <row r="114" spans="1:9" ht="12.75">
      <c r="A114" s="8" t="s">
        <v>98</v>
      </c>
      <c r="B114" s="82">
        <v>195.76</v>
      </c>
      <c r="C114" s="82">
        <v>158.13</v>
      </c>
      <c r="D114" s="82">
        <v>158.13</v>
      </c>
      <c r="E114" s="48">
        <f t="shared" si="7"/>
        <v>80.77748263179404</v>
      </c>
      <c r="F114" s="48">
        <v>0</v>
      </c>
      <c r="G114" s="36">
        <v>42.5</v>
      </c>
      <c r="H114" s="48">
        <v>0</v>
      </c>
      <c r="I114" s="82">
        <f>D114-Июнь!D114</f>
        <v>0.030000000000001137</v>
      </c>
    </row>
    <row r="115" spans="1:9" ht="12.75">
      <c r="A115" s="11" t="s">
        <v>49</v>
      </c>
      <c r="B115" s="30">
        <f>B116+B117+B118+B119+B120</f>
        <v>186103.41999999998</v>
      </c>
      <c r="C115" s="30">
        <f>C116+C117+C118+C119+C120</f>
        <v>51120.469999999994</v>
      </c>
      <c r="D115" s="30">
        <f>D116+D117+D118+D119+D120</f>
        <v>50936.82000000001</v>
      </c>
      <c r="E115" s="86">
        <f t="shared" si="7"/>
        <v>27.370168694374346</v>
      </c>
      <c r="F115" s="86">
        <f>$D:$D/$C:$C*100</f>
        <v>99.6407505643043</v>
      </c>
      <c r="G115" s="35">
        <f>SUM(G116:G120)</f>
        <v>63424.40000000001</v>
      </c>
      <c r="H115" s="86">
        <f aca="true" t="shared" si="10" ref="H115:H124">$D:$D/$G:$G*100</f>
        <v>80.31107901690831</v>
      </c>
      <c r="I115" s="82">
        <f>D115-Июнь!D115</f>
        <v>5618.520000000004</v>
      </c>
    </row>
    <row r="116" spans="1:9" ht="12.75">
      <c r="A116" s="8" t="s">
        <v>50</v>
      </c>
      <c r="B116" s="82">
        <f>2909.75</f>
        <v>2909.75</v>
      </c>
      <c r="C116" s="71">
        <v>1291.14</v>
      </c>
      <c r="D116" s="71">
        <v>1291.14</v>
      </c>
      <c r="E116" s="48">
        <f t="shared" si="7"/>
        <v>44.372884268407944</v>
      </c>
      <c r="F116" s="48">
        <v>0</v>
      </c>
      <c r="G116" s="36">
        <v>1412.4</v>
      </c>
      <c r="H116" s="48">
        <f t="shared" si="10"/>
        <v>91.41461342395922</v>
      </c>
      <c r="I116" s="82">
        <f>D116-Июнь!D116</f>
        <v>212.1400000000001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 t="shared" si="7"/>
        <v>#DIV/0!</v>
      </c>
      <c r="F117" s="48" t="e">
        <f>$D:$D/$C:$C*100</f>
        <v>#DIV/0!</v>
      </c>
      <c r="G117" s="36">
        <v>0</v>
      </c>
      <c r="H117" s="48" t="e">
        <f t="shared" si="10"/>
        <v>#DIV/0!</v>
      </c>
      <c r="I117" s="82">
        <f>D117-Июнь!D117</f>
        <v>0</v>
      </c>
    </row>
    <row r="118" spans="1:9" ht="12.75">
      <c r="A118" s="8" t="s">
        <v>52</v>
      </c>
      <c r="B118" s="85">
        <v>90352.05</v>
      </c>
      <c r="C118" s="71">
        <v>40106.99</v>
      </c>
      <c r="D118" s="71">
        <v>40106.97</v>
      </c>
      <c r="E118" s="48">
        <f t="shared" si="7"/>
        <v>44.389662437100206</v>
      </c>
      <c r="F118" s="48">
        <v>0</v>
      </c>
      <c r="G118" s="36">
        <v>38247.3</v>
      </c>
      <c r="H118" s="48">
        <f t="shared" si="10"/>
        <v>104.86222556886369</v>
      </c>
      <c r="I118" s="82">
        <f>D118-Июнь!D118</f>
        <v>3011.6699999999983</v>
      </c>
    </row>
    <row r="119" spans="1:9" ht="12.75">
      <c r="A119" s="8" t="s">
        <v>53</v>
      </c>
      <c r="B119" s="82">
        <v>90414.32</v>
      </c>
      <c r="C119" s="71">
        <v>8517.3</v>
      </c>
      <c r="D119" s="71">
        <v>8441.41</v>
      </c>
      <c r="E119" s="48">
        <f t="shared" si="7"/>
        <v>9.336363974202316</v>
      </c>
      <c r="F119" s="48">
        <f>$D:$D/$C:$C*100</f>
        <v>99.10898993812593</v>
      </c>
      <c r="G119" s="28">
        <v>22777.4</v>
      </c>
      <c r="H119" s="48">
        <f t="shared" si="10"/>
        <v>37.060463441832695</v>
      </c>
      <c r="I119" s="82">
        <f>D119-Июнь!D119</f>
        <v>2221.8099999999995</v>
      </c>
    </row>
    <row r="120" spans="1:9" ht="12.75">
      <c r="A120" s="8" t="s">
        <v>54</v>
      </c>
      <c r="B120" s="82">
        <v>2427.3</v>
      </c>
      <c r="C120" s="71">
        <v>1205.04</v>
      </c>
      <c r="D120" s="71">
        <v>1097.3</v>
      </c>
      <c r="E120" s="48">
        <f t="shared" si="7"/>
        <v>45.206608165451314</v>
      </c>
      <c r="F120" s="48"/>
      <c r="G120" s="36">
        <v>987.3</v>
      </c>
      <c r="H120" s="48">
        <f t="shared" si="10"/>
        <v>111.14149701205307</v>
      </c>
      <c r="I120" s="82">
        <f>D120-Июнь!D120</f>
        <v>172.89999999999998</v>
      </c>
    </row>
    <row r="121" spans="1:9" ht="12.75">
      <c r="A121" s="11" t="s">
        <v>61</v>
      </c>
      <c r="B121" s="87">
        <f>B122+B123+B124</f>
        <v>225753.34999999998</v>
      </c>
      <c r="C121" s="87">
        <f>C122+C123+C124</f>
        <v>121564.56</v>
      </c>
      <c r="D121" s="87">
        <f>D122+D123+D124</f>
        <v>121362.23000000001</v>
      </c>
      <c r="E121" s="86">
        <f t="shared" si="7"/>
        <v>53.7587725719242</v>
      </c>
      <c r="F121" s="86">
        <f>$D:$D/$C:$C*100</f>
        <v>99.83356168936079</v>
      </c>
      <c r="G121" s="27">
        <f>G122+G123+G124</f>
        <v>45187.5</v>
      </c>
      <c r="H121" s="86">
        <f t="shared" si="10"/>
        <v>268.5747828492393</v>
      </c>
      <c r="I121" s="82">
        <f>D121-Июнь!D121</f>
        <v>14118.23000000001</v>
      </c>
    </row>
    <row r="122" spans="1:9" ht="12.75">
      <c r="A122" s="41" t="s">
        <v>62</v>
      </c>
      <c r="B122" s="85">
        <v>101161.97</v>
      </c>
      <c r="C122" s="71">
        <v>51034.79</v>
      </c>
      <c r="D122" s="71">
        <v>51034.79</v>
      </c>
      <c r="E122" s="48">
        <f t="shared" si="7"/>
        <v>50.448592489845744</v>
      </c>
      <c r="F122" s="48">
        <f>$D:$D/$C:$C*100</f>
        <v>100</v>
      </c>
      <c r="G122" s="28">
        <v>39011.8</v>
      </c>
      <c r="H122" s="48">
        <f t="shared" si="10"/>
        <v>130.81885480803243</v>
      </c>
      <c r="I122" s="82">
        <f>D122-Июнь!D122</f>
        <v>7293.090000000004</v>
      </c>
    </row>
    <row r="123" spans="1:9" ht="24.75" customHeight="1">
      <c r="A123" s="12" t="s">
        <v>63</v>
      </c>
      <c r="B123" s="85">
        <v>120270.77</v>
      </c>
      <c r="C123" s="71">
        <v>68197.99</v>
      </c>
      <c r="D123" s="71">
        <v>68198</v>
      </c>
      <c r="E123" s="48">
        <v>0</v>
      </c>
      <c r="F123" s="48">
        <v>0</v>
      </c>
      <c r="G123" s="28">
        <v>4023</v>
      </c>
      <c r="H123" s="48">
        <f t="shared" si="10"/>
        <v>1695.2025851354713</v>
      </c>
      <c r="I123" s="82">
        <f>D123-Июнь!D123</f>
        <v>6490.699999999997</v>
      </c>
    </row>
    <row r="124" spans="1:9" ht="25.5">
      <c r="A124" s="12" t="s">
        <v>73</v>
      </c>
      <c r="B124" s="85">
        <v>4320.61</v>
      </c>
      <c r="C124" s="71">
        <v>2331.78</v>
      </c>
      <c r="D124" s="71">
        <v>2129.44</v>
      </c>
      <c r="E124" s="48">
        <f>$D:$D/$B:$B*100</f>
        <v>49.28563327863427</v>
      </c>
      <c r="F124" s="48">
        <f>$D:$D/$C:$C*100</f>
        <v>91.32250898455257</v>
      </c>
      <c r="G124" s="28">
        <v>2152.7</v>
      </c>
      <c r="H124" s="48">
        <f t="shared" si="10"/>
        <v>98.91949644632322</v>
      </c>
      <c r="I124" s="82">
        <f>D124-Июнь!D124</f>
        <v>334.44000000000005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D125-Июнь!D125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0</v>
      </c>
      <c r="H126" s="48">
        <v>0</v>
      </c>
      <c r="I126" s="82">
        <f>D126-Июнь!D126</f>
        <v>-0.0038400000000002876</v>
      </c>
    </row>
    <row r="127" spans="1:9" ht="15.75" customHeight="1">
      <c r="A127" s="14" t="s">
        <v>55</v>
      </c>
      <c r="B127" s="30">
        <f>B78+B87+B88+B89+B95+B103+B110+B113+B115+B121+B125+B100</f>
        <v>4289465.4799999995</v>
      </c>
      <c r="C127" s="30">
        <f>C78+C87+C88+C89+C95+C103+C110+C113+C115+C121+C125+C100</f>
        <v>1585641.06384</v>
      </c>
      <c r="D127" s="30">
        <f>D78+D87+D88+D89+D95+D103+D110+D113+D115+D121+D125+D100</f>
        <v>1579823.08384</v>
      </c>
      <c r="E127" s="86">
        <f>$D:$D/$B:$B*100</f>
        <v>36.83030184544113</v>
      </c>
      <c r="F127" s="86">
        <f>$D:$D/$C:$C*100</f>
        <v>99.63308341763613</v>
      </c>
      <c r="G127" s="35">
        <f>G78+G87+G88+G89+G95+G103+G110+G113+G115+G121+G125+G100</f>
        <v>1319664.5999999996</v>
      </c>
      <c r="H127" s="86">
        <f>$D:$D/$G:$G*100</f>
        <v>119.71398519290435</v>
      </c>
      <c r="I127" s="82">
        <f>D127-Июнь!D127</f>
        <v>315060.7699999998</v>
      </c>
    </row>
    <row r="128" spans="1:9" ht="26.25" customHeight="1">
      <c r="A128" s="15" t="s">
        <v>56</v>
      </c>
      <c r="B128" s="30">
        <f>B72-B127</f>
        <v>-113548.87999999942</v>
      </c>
      <c r="C128" s="30">
        <f>C72-C127</f>
        <v>123592.21616000007</v>
      </c>
      <c r="D128" s="30">
        <f>D72-D127</f>
        <v>50875.21616000007</v>
      </c>
      <c r="E128" s="30"/>
      <c r="F128" s="30"/>
      <c r="G128" s="30">
        <f>G76-G127</f>
        <v>-1319664.5999999996</v>
      </c>
      <c r="H128" s="30"/>
      <c r="I128" s="82">
        <f>D128-Июнь!D128</f>
        <v>22239.630000000354</v>
      </c>
    </row>
    <row r="129" spans="1:9" ht="24" customHeight="1">
      <c r="A129" s="1" t="s">
        <v>57</v>
      </c>
      <c r="B129" s="85" t="s">
        <v>165</v>
      </c>
      <c r="C129" s="85"/>
      <c r="D129" s="85" t="s">
        <v>176</v>
      </c>
      <c r="E129" s="85"/>
      <c r="F129" s="85"/>
      <c r="G129" s="28" t="s">
        <v>177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81696.8</v>
      </c>
      <c r="E130" s="85"/>
      <c r="F130" s="85"/>
      <c r="G130" s="27">
        <f>G132+G133</f>
        <v>45082.1</v>
      </c>
      <c r="H130" s="85"/>
      <c r="I130" s="82">
        <f>D130-Июнь!D130</f>
        <v>22239.4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D131-Июнь!D131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41514.4</v>
      </c>
      <c r="E132" s="85"/>
      <c r="F132" s="85"/>
      <c r="G132" s="28">
        <v>19609.3</v>
      </c>
      <c r="H132" s="85"/>
      <c r="I132" s="82">
        <f>D132-Июнь!D132</f>
        <v>-2035.0999999999985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40182.4</v>
      </c>
      <c r="E133" s="85"/>
      <c r="F133" s="85"/>
      <c r="G133" s="28">
        <f>45082.1-19609.3</f>
        <v>25472.8</v>
      </c>
      <c r="H133" s="85"/>
      <c r="I133" s="82">
        <f>D133-Июнь!D133</f>
        <v>24274.5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f>G135-G136</f>
        <v>0</v>
      </c>
      <c r="H134" s="90"/>
      <c r="I134" s="82">
        <f>D134-Июнь!D134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D135-Июнь!D135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D136-Июнь!D136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5" sqref="H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178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179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451330.6199999999</v>
      </c>
      <c r="D7" s="30">
        <f>D8+D16+D21+D26+D29+D36++D45+D46+D47+D51+D62</f>
        <v>448648.49999999994</v>
      </c>
      <c r="E7" s="86">
        <f aca="true" t="shared" si="0" ref="E7:E22">$D:$D/$B:$B*100</f>
        <v>61.36493636982616</v>
      </c>
      <c r="F7" s="86">
        <v>27699.089999999997</v>
      </c>
      <c r="G7" s="30">
        <v>371549.5</v>
      </c>
      <c r="H7" s="86">
        <f aca="true" t="shared" si="1" ref="H7:H48">$D:$D/$G:$G*100</f>
        <v>120.75066713856431</v>
      </c>
      <c r="I7" s="30">
        <f>D7-Июль!D7</f>
        <v>45041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243089.48</v>
      </c>
      <c r="D8" s="86">
        <f>D9+D10-0.1</f>
        <v>240832.6</v>
      </c>
      <c r="E8" s="86">
        <f t="shared" si="0"/>
        <v>63.179497565373936</v>
      </c>
      <c r="F8" s="86">
        <v>10645.39</v>
      </c>
      <c r="G8" s="86">
        <v>182152.74</v>
      </c>
      <c r="H8" s="86">
        <f t="shared" si="1"/>
        <v>132.21464579670885</v>
      </c>
      <c r="I8" s="30">
        <f>D8-Июль!D8</f>
        <v>26251.20000000001</v>
      </c>
    </row>
    <row r="9" spans="1:9" ht="25.5">
      <c r="A9" s="53" t="s">
        <v>5</v>
      </c>
      <c r="B9" s="87">
        <v>8446.3</v>
      </c>
      <c r="C9" s="87">
        <v>5200</v>
      </c>
      <c r="D9" s="87">
        <v>4087.5</v>
      </c>
      <c r="E9" s="86">
        <f t="shared" si="0"/>
        <v>48.393971324722074</v>
      </c>
      <c r="F9" s="86">
        <v>200.86</v>
      </c>
      <c r="G9" s="87">
        <v>7154.37</v>
      </c>
      <c r="H9" s="86">
        <f t="shared" si="1"/>
        <v>57.1329131705517</v>
      </c>
      <c r="I9" s="30">
        <f>D9-Июль!D9</f>
        <v>943.8000000000002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237889.48</v>
      </c>
      <c r="D10" s="92">
        <f>SUM(D11:D15)</f>
        <v>236745.2</v>
      </c>
      <c r="E10" s="86">
        <f t="shared" si="0"/>
        <v>63.51456344019557</v>
      </c>
      <c r="F10" s="86">
        <v>10444.529999999999</v>
      </c>
      <c r="G10" s="30">
        <v>174998.37</v>
      </c>
      <c r="H10" s="86">
        <f t="shared" si="1"/>
        <v>135.28423150455632</v>
      </c>
      <c r="I10" s="30">
        <f>D10-Июль!D10</f>
        <v>25307.400000000023</v>
      </c>
    </row>
    <row r="11" spans="1:9" ht="51">
      <c r="A11" s="56" t="s">
        <v>74</v>
      </c>
      <c r="B11" s="85">
        <v>313856.6</v>
      </c>
      <c r="C11" s="85">
        <v>181644.2</v>
      </c>
      <c r="D11" s="85">
        <v>178439</v>
      </c>
      <c r="E11" s="86">
        <f t="shared" si="0"/>
        <v>56.853671390055204</v>
      </c>
      <c r="F11" s="86">
        <v>10058</v>
      </c>
      <c r="G11" s="85">
        <v>164256.38</v>
      </c>
      <c r="H11" s="48">
        <f t="shared" si="1"/>
        <v>108.634440866163</v>
      </c>
      <c r="I11" s="30">
        <f>D11-Июль!D11</f>
        <v>24430.20000000001</v>
      </c>
    </row>
    <row r="12" spans="1:9" ht="94.5" customHeight="1">
      <c r="A12" s="56" t="s">
        <v>75</v>
      </c>
      <c r="B12" s="85">
        <v>6481.5</v>
      </c>
      <c r="C12" s="85">
        <v>5360</v>
      </c>
      <c r="D12" s="85">
        <v>573.3</v>
      </c>
      <c r="E12" s="86">
        <f t="shared" si="0"/>
        <v>8.845174728072205</v>
      </c>
      <c r="F12" s="86">
        <v>81.56</v>
      </c>
      <c r="G12" s="85">
        <v>5403.09</v>
      </c>
      <c r="H12" s="48">
        <f t="shared" si="1"/>
        <v>10.610595048388976</v>
      </c>
      <c r="I12" s="30">
        <f>D12-Июль!D12</f>
        <v>-516.6000000000001</v>
      </c>
    </row>
    <row r="13" spans="1:9" ht="25.5">
      <c r="A13" s="56" t="s">
        <v>76</v>
      </c>
      <c r="B13" s="85">
        <v>3576.4</v>
      </c>
      <c r="C13" s="85">
        <v>3105</v>
      </c>
      <c r="D13" s="85">
        <v>4177.2</v>
      </c>
      <c r="E13" s="86">
        <f t="shared" si="0"/>
        <v>116.79901577004807</v>
      </c>
      <c r="F13" s="86">
        <v>117.15</v>
      </c>
      <c r="G13" s="85">
        <v>3089.5</v>
      </c>
      <c r="H13" s="48">
        <f t="shared" si="1"/>
        <v>135.2063440686195</v>
      </c>
      <c r="I13" s="30">
        <f>D13-Июль!D13</f>
        <v>199.89999999999964</v>
      </c>
    </row>
    <row r="14" spans="1:9" ht="63.75">
      <c r="A14" s="56" t="s">
        <v>78</v>
      </c>
      <c r="B14" s="85">
        <f>2580100/1000</f>
        <v>2580.1</v>
      </c>
      <c r="C14" s="85">
        <v>1533.3</v>
      </c>
      <c r="D14" s="85">
        <v>2572.5</v>
      </c>
      <c r="E14" s="86">
        <f t="shared" si="0"/>
        <v>99.7054377737297</v>
      </c>
      <c r="F14" s="86">
        <v>187.82</v>
      </c>
      <c r="G14" s="85">
        <v>1516.41</v>
      </c>
      <c r="H14" s="48">
        <f t="shared" si="1"/>
        <v>169.64409361584268</v>
      </c>
      <c r="I14" s="30">
        <f>D14-Июль!D14</f>
        <v>321.3000000000002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50983.2</v>
      </c>
      <c r="E15" s="86">
        <f t="shared" si="0"/>
        <v>110.24109671978721</v>
      </c>
      <c r="F15" s="86"/>
      <c r="G15" s="30">
        <v>732.99</v>
      </c>
      <c r="H15" s="48">
        <f t="shared" si="1"/>
        <v>6955.510989235869</v>
      </c>
      <c r="I15" s="30">
        <f>D15-Июль!D15</f>
        <v>872.5999999999985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35475.07</v>
      </c>
      <c r="D16" s="87">
        <f>SUM(D17:D20)</f>
        <v>41556.3</v>
      </c>
      <c r="E16" s="86">
        <f t="shared" si="0"/>
        <v>74.75768151399583</v>
      </c>
      <c r="F16" s="86">
        <v>1853.18</v>
      </c>
      <c r="G16" s="85">
        <v>15530.359999999999</v>
      </c>
      <c r="H16" s="86">
        <f t="shared" si="1"/>
        <v>267.58104770269335</v>
      </c>
      <c r="I16" s="30">
        <f>D16-Июль!D16</f>
        <v>5825.100000000006</v>
      </c>
    </row>
    <row r="17" spans="1:9" ht="37.5" customHeight="1">
      <c r="A17" s="39" t="s">
        <v>83</v>
      </c>
      <c r="B17" s="82">
        <v>25133.1</v>
      </c>
      <c r="C17" s="82">
        <v>15669.9</v>
      </c>
      <c r="D17" s="82">
        <v>20394.1</v>
      </c>
      <c r="E17" s="86">
        <f t="shared" si="0"/>
        <v>81.14438728211005</v>
      </c>
      <c r="F17" s="86">
        <v>844.23</v>
      </c>
      <c r="G17" s="85">
        <v>7018.94</v>
      </c>
      <c r="H17" s="48">
        <f t="shared" si="1"/>
        <v>290.5581184623319</v>
      </c>
      <c r="I17" s="30">
        <f>D17-Июль!D17</f>
        <v>2927.699999999997</v>
      </c>
    </row>
    <row r="18" spans="1:9" ht="56.25" customHeight="1">
      <c r="A18" s="39" t="s">
        <v>84</v>
      </c>
      <c r="B18" s="82">
        <v>139.1</v>
      </c>
      <c r="C18" s="82">
        <v>92.97</v>
      </c>
      <c r="D18" s="82">
        <v>117.9</v>
      </c>
      <c r="E18" s="86">
        <f t="shared" si="0"/>
        <v>84.75916606757728</v>
      </c>
      <c r="F18" s="86">
        <v>5.74</v>
      </c>
      <c r="G18" s="85">
        <v>52.3</v>
      </c>
      <c r="H18" s="48">
        <f t="shared" si="1"/>
        <v>225.43021032504785</v>
      </c>
      <c r="I18" s="30">
        <f>D18-Июль!D18</f>
        <v>15.100000000000009</v>
      </c>
    </row>
    <row r="19" spans="1:9" ht="55.5" customHeight="1">
      <c r="A19" s="39" t="s">
        <v>85</v>
      </c>
      <c r="B19" s="82">
        <v>33467.4</v>
      </c>
      <c r="C19" s="82">
        <v>21914.7</v>
      </c>
      <c r="D19" s="82">
        <v>23418.5</v>
      </c>
      <c r="E19" s="86">
        <f t="shared" si="0"/>
        <v>69.97406431333178</v>
      </c>
      <c r="F19" s="86">
        <v>1158.41</v>
      </c>
      <c r="G19" s="85">
        <v>9741.43</v>
      </c>
      <c r="H19" s="48">
        <f t="shared" si="1"/>
        <v>240.40104994851882</v>
      </c>
      <c r="I19" s="30">
        <f>D19-Июль!D19</f>
        <v>3234.2000000000007</v>
      </c>
    </row>
    <row r="20" spans="1:9" ht="15.75" customHeight="1">
      <c r="A20" s="39" t="s">
        <v>86</v>
      </c>
      <c r="B20" s="82">
        <v>-3151.6</v>
      </c>
      <c r="C20" s="82">
        <v>-2202.5</v>
      </c>
      <c r="D20" s="82">
        <v>-2374.2</v>
      </c>
      <c r="E20" s="86">
        <f t="shared" si="0"/>
        <v>75.33316410712018</v>
      </c>
      <c r="F20" s="86">
        <v>-155.2</v>
      </c>
      <c r="G20" s="30">
        <v>-1282.31</v>
      </c>
      <c r="H20" s="48">
        <f t="shared" si="1"/>
        <v>185.1502366822375</v>
      </c>
      <c r="I20" s="30">
        <f>D20-Июль!D20</f>
        <v>-351.89999999999986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99091.9</v>
      </c>
      <c r="D21" s="87">
        <f>SUM(D22:D25)</f>
        <v>92274.3</v>
      </c>
      <c r="E21" s="86">
        <f t="shared" si="0"/>
        <v>68.75033993584991</v>
      </c>
      <c r="F21" s="86">
        <v>7362.96</v>
      </c>
      <c r="G21" s="85">
        <v>94341.24</v>
      </c>
      <c r="H21" s="86">
        <f t="shared" si="1"/>
        <v>97.80908116111257</v>
      </c>
      <c r="I21" s="30">
        <f>D21-Июль!D21</f>
        <v>5590.700000000012</v>
      </c>
    </row>
    <row r="22" spans="1:9" ht="28.5" customHeight="1">
      <c r="A22" s="56" t="s">
        <v>146</v>
      </c>
      <c r="B22" s="85">
        <v>110640.7</v>
      </c>
      <c r="C22" s="85">
        <v>81230</v>
      </c>
      <c r="D22" s="85">
        <v>76105.6</v>
      </c>
      <c r="E22" s="86">
        <f t="shared" si="0"/>
        <v>68.78626039061577</v>
      </c>
      <c r="F22" s="86"/>
      <c r="G22" s="85">
        <v>71369.39</v>
      </c>
      <c r="H22" s="48">
        <f t="shared" si="1"/>
        <v>106.63619235081035</v>
      </c>
      <c r="I22" s="30">
        <f>D22-Июль!D22</f>
        <v>4286.400000000009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86.2</v>
      </c>
      <c r="E23" s="86">
        <v>0</v>
      </c>
      <c r="F23" s="86">
        <v>7198.75</v>
      </c>
      <c r="G23" s="85">
        <v>7261.69</v>
      </c>
      <c r="H23" s="48">
        <f t="shared" si="1"/>
        <v>1.1870514990312173</v>
      </c>
      <c r="I23" s="30">
        <f>D23-Июль!D23</f>
        <v>76.3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296.5</v>
      </c>
      <c r="E24" s="86">
        <f aca="true" t="shared" si="2" ref="E24:E47">$D:$D/$B:$B*100</f>
        <v>23.815261044176708</v>
      </c>
      <c r="F24" s="86">
        <v>113.58</v>
      </c>
      <c r="G24" s="30">
        <v>1148.16</v>
      </c>
      <c r="H24" s="48">
        <f t="shared" si="1"/>
        <v>25.823926978818278</v>
      </c>
      <c r="I24" s="30">
        <f>D24-Июль!D24</f>
        <v>0.6999999999999886</v>
      </c>
    </row>
    <row r="25" spans="1:9" ht="27" customHeight="1">
      <c r="A25" s="56" t="s">
        <v>88</v>
      </c>
      <c r="B25" s="85">
        <v>22330.8</v>
      </c>
      <c r="C25" s="85">
        <v>16616.9</v>
      </c>
      <c r="D25" s="85">
        <v>15786</v>
      </c>
      <c r="E25" s="86">
        <f t="shared" si="2"/>
        <v>70.69160083830404</v>
      </c>
      <c r="F25" s="86">
        <v>50.63</v>
      </c>
      <c r="G25" s="85">
        <v>14562</v>
      </c>
      <c r="H25" s="48">
        <f t="shared" si="1"/>
        <v>108.4054388133498</v>
      </c>
      <c r="I25" s="30">
        <f>D25-Июль!D25</f>
        <v>1227.2999999999993</v>
      </c>
    </row>
    <row r="26" spans="1:9" ht="12.75">
      <c r="A26" s="59" t="s">
        <v>8</v>
      </c>
      <c r="B26" s="87">
        <f>SUM(B27:B28)</f>
        <v>42549</v>
      </c>
      <c r="C26" s="87">
        <f>SUM(C27:C28)</f>
        <v>11518.97</v>
      </c>
      <c r="D26" s="87">
        <f>SUM(D27:D28)</f>
        <v>11880.3</v>
      </c>
      <c r="E26" s="86">
        <f t="shared" si="2"/>
        <v>27.921455263343436</v>
      </c>
      <c r="F26" s="86">
        <v>2465.82</v>
      </c>
      <c r="G26" s="85">
        <v>11042.61</v>
      </c>
      <c r="H26" s="86">
        <f t="shared" si="1"/>
        <v>107.58597831490924</v>
      </c>
      <c r="I26" s="30">
        <f>D26-Июль!D26</f>
        <v>1316.7999999999993</v>
      </c>
    </row>
    <row r="27" spans="1:9" ht="12.75">
      <c r="A27" s="56" t="s">
        <v>106</v>
      </c>
      <c r="B27" s="82">
        <v>25216.8</v>
      </c>
      <c r="C27" s="82">
        <v>3508.97</v>
      </c>
      <c r="D27" s="82">
        <v>4195.4</v>
      </c>
      <c r="E27" s="86">
        <f t="shared" si="2"/>
        <v>16.637321150978714</v>
      </c>
      <c r="F27" s="86">
        <v>536.1</v>
      </c>
      <c r="G27" s="30">
        <v>3000.92</v>
      </c>
      <c r="H27" s="48">
        <f t="shared" si="1"/>
        <v>139.80379350332564</v>
      </c>
      <c r="I27" s="30">
        <f>D27-Июль!D27</f>
        <v>367.49999999999955</v>
      </c>
    </row>
    <row r="28" spans="1:9" ht="12.75">
      <c r="A28" s="56" t="s">
        <v>107</v>
      </c>
      <c r="B28" s="85">
        <f>17332.2</f>
        <v>17332.2</v>
      </c>
      <c r="C28" s="85">
        <v>8010</v>
      </c>
      <c r="D28" s="85">
        <v>7684.9</v>
      </c>
      <c r="E28" s="86">
        <f t="shared" si="2"/>
        <v>44.33886061780962</v>
      </c>
      <c r="F28" s="86">
        <v>1929.72</v>
      </c>
      <c r="G28" s="85">
        <v>8041.69</v>
      </c>
      <c r="H28" s="48">
        <f t="shared" si="1"/>
        <v>95.56324603410478</v>
      </c>
      <c r="I28" s="30">
        <f>D28-Июль!D28</f>
        <v>949.2999999999993</v>
      </c>
    </row>
    <row r="29" spans="1:9" ht="12.75">
      <c r="A29" s="52" t="s">
        <v>9</v>
      </c>
      <c r="B29" s="87">
        <f>SUM(B30:B32)</f>
        <v>16105.5</v>
      </c>
      <c r="C29" s="87">
        <f>SUM(C30:C32)</f>
        <v>10676.4</v>
      </c>
      <c r="D29" s="87">
        <f>SUM(D30:D32)</f>
        <v>11187.8</v>
      </c>
      <c r="E29" s="86">
        <f t="shared" si="2"/>
        <v>69.46571047157802</v>
      </c>
      <c r="F29" s="86">
        <v>793.07</v>
      </c>
      <c r="G29" s="85">
        <v>10057.12</v>
      </c>
      <c r="H29" s="86">
        <f t="shared" si="1"/>
        <v>111.24258236950537</v>
      </c>
      <c r="I29" s="30">
        <f>D29-Июль!D29</f>
        <v>1822.2999999999993</v>
      </c>
    </row>
    <row r="30" spans="1:9" ht="25.5">
      <c r="A30" s="56" t="s">
        <v>10</v>
      </c>
      <c r="B30" s="85">
        <v>15988.3</v>
      </c>
      <c r="C30" s="85">
        <v>10600</v>
      </c>
      <c r="D30" s="85">
        <v>11089.8</v>
      </c>
      <c r="E30" s="86">
        <f t="shared" si="2"/>
        <v>69.36197094125079</v>
      </c>
      <c r="F30" s="86">
        <v>793.07</v>
      </c>
      <c r="G30" s="85">
        <v>9915.92</v>
      </c>
      <c r="H30" s="48">
        <f t="shared" si="1"/>
        <v>111.83833673527015</v>
      </c>
      <c r="I30" s="30">
        <f>D30-Июль!D30</f>
        <v>1819.0999999999985</v>
      </c>
    </row>
    <row r="31" spans="1:9" ht="25.5">
      <c r="A31" s="56" t="s">
        <v>91</v>
      </c>
      <c r="B31" s="81">
        <f>67200/1000</f>
        <v>67.2</v>
      </c>
      <c r="C31" s="81">
        <v>46.4</v>
      </c>
      <c r="D31" s="81">
        <v>48</v>
      </c>
      <c r="E31" s="86">
        <f t="shared" si="2"/>
        <v>71.42857142857143</v>
      </c>
      <c r="F31" s="86">
        <v>0</v>
      </c>
      <c r="G31" s="30">
        <v>90</v>
      </c>
      <c r="H31" s="48">
        <f t="shared" si="1"/>
        <v>53.333333333333336</v>
      </c>
      <c r="I31" s="30">
        <f>D31-Июль!D31</f>
        <v>3.200000000000003</v>
      </c>
    </row>
    <row r="32" spans="1:9" ht="25.5">
      <c r="A32" s="56" t="s">
        <v>90</v>
      </c>
      <c r="B32" s="81">
        <f>50000/1000</f>
        <v>50</v>
      </c>
      <c r="C32" s="81">
        <v>30</v>
      </c>
      <c r="D32" s="81">
        <v>50</v>
      </c>
      <c r="E32" s="86">
        <f t="shared" si="2"/>
        <v>100</v>
      </c>
      <c r="F32" s="86">
        <v>0</v>
      </c>
      <c r="G32" s="85">
        <v>51.2</v>
      </c>
      <c r="H32" s="48">
        <f t="shared" si="1"/>
        <v>97.65625</v>
      </c>
      <c r="I32" s="30">
        <f>D32-Июль!D32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 t="shared" si="2"/>
        <v>#DIV/0!</v>
      </c>
      <c r="F33" s="86">
        <v>0</v>
      </c>
      <c r="G33" s="85">
        <v>16.56</v>
      </c>
      <c r="H33" s="48">
        <f t="shared" si="1"/>
        <v>0.12077294685990339</v>
      </c>
      <c r="I33" s="30">
        <f>D33-Июль!D33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 t="shared" si="2"/>
        <v>#DIV/0!</v>
      </c>
      <c r="F34" s="86">
        <v>0</v>
      </c>
      <c r="G34" s="30">
        <v>14.9</v>
      </c>
      <c r="H34" s="48">
        <f t="shared" si="1"/>
        <v>0.1342281879194631</v>
      </c>
      <c r="I34" s="30">
        <f>D34-Июль!D34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 t="shared" si="2"/>
        <v>#DIV/0!</v>
      </c>
      <c r="F35" s="86">
        <v>0</v>
      </c>
      <c r="G35" s="85">
        <v>1.66</v>
      </c>
      <c r="H35" s="48">
        <f t="shared" si="1"/>
        <v>0</v>
      </c>
      <c r="I35" s="30">
        <f>D35-Июль!D35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37507.50000000001</v>
      </c>
      <c r="D36" s="87">
        <f>SUM(D38:D44)</f>
        <v>33614.299999999996</v>
      </c>
      <c r="E36" s="86">
        <f t="shared" si="2"/>
        <v>45.70240270617155</v>
      </c>
      <c r="F36" s="86">
        <v>3247.05</v>
      </c>
      <c r="G36" s="85">
        <v>46115.090000000004</v>
      </c>
      <c r="H36" s="86">
        <f t="shared" si="1"/>
        <v>72.89219212192796</v>
      </c>
      <c r="I36" s="30">
        <f>D36-Июль!D36</f>
        <v>2828.5999999999985</v>
      </c>
    </row>
    <row r="37" spans="1:9" ht="81.75" customHeight="1" hidden="1">
      <c r="A37" s="56" t="s">
        <v>114</v>
      </c>
      <c r="B37" s="85"/>
      <c r="C37" s="85"/>
      <c r="D37" s="85"/>
      <c r="E37" s="86" t="e">
        <f t="shared" si="2"/>
        <v>#DIV/0!</v>
      </c>
      <c r="F37" s="86"/>
      <c r="G37" s="85"/>
      <c r="H37" s="48" t="e">
        <f t="shared" si="1"/>
        <v>#DIV/0!</v>
      </c>
      <c r="I37" s="30">
        <f>D37-Июль!D37</f>
        <v>0</v>
      </c>
    </row>
    <row r="38" spans="1:9" ht="76.5">
      <c r="A38" s="56" t="s">
        <v>117</v>
      </c>
      <c r="B38" s="85">
        <v>37670.9</v>
      </c>
      <c r="C38" s="85">
        <v>20500</v>
      </c>
      <c r="D38" s="85">
        <v>18431.8</v>
      </c>
      <c r="E38" s="86">
        <f t="shared" si="2"/>
        <v>48.92848325896116</v>
      </c>
      <c r="F38" s="86">
        <v>2393.3</v>
      </c>
      <c r="G38" s="85">
        <v>28997.77</v>
      </c>
      <c r="H38" s="48">
        <f t="shared" si="1"/>
        <v>63.56281879606603</v>
      </c>
      <c r="I38" s="30">
        <f>D38-Июль!D38</f>
        <v>997.2000000000007</v>
      </c>
    </row>
    <row r="39" spans="1:9" ht="76.5">
      <c r="A39" s="56" t="s">
        <v>125</v>
      </c>
      <c r="B39" s="82">
        <v>7265</v>
      </c>
      <c r="C39" s="82">
        <v>2301.7</v>
      </c>
      <c r="D39" s="82">
        <v>2793.8</v>
      </c>
      <c r="E39" s="86">
        <f t="shared" si="2"/>
        <v>38.45560908465245</v>
      </c>
      <c r="F39" s="86">
        <v>75.44</v>
      </c>
      <c r="G39" s="85">
        <v>916.38</v>
      </c>
      <c r="H39" s="48">
        <f t="shared" si="1"/>
        <v>304.87352408389535</v>
      </c>
      <c r="I39" s="30">
        <f>D39-Июль!D39</f>
        <v>360.2000000000003</v>
      </c>
    </row>
    <row r="40" spans="1:9" ht="76.5">
      <c r="A40" s="56" t="s">
        <v>118</v>
      </c>
      <c r="B40" s="82">
        <v>428</v>
      </c>
      <c r="C40" s="82">
        <v>281.9</v>
      </c>
      <c r="D40" s="82">
        <v>319.3</v>
      </c>
      <c r="E40" s="86">
        <f t="shared" si="2"/>
        <v>74.60280373831776</v>
      </c>
      <c r="F40" s="86">
        <v>3.43</v>
      </c>
      <c r="G40" s="85">
        <v>288.55</v>
      </c>
      <c r="H40" s="48">
        <f t="shared" si="1"/>
        <v>110.65673193553978</v>
      </c>
      <c r="I40" s="30">
        <f>D40-Июль!D40</f>
        <v>41.19999999999999</v>
      </c>
    </row>
    <row r="41" spans="1:9" ht="38.25">
      <c r="A41" s="56" t="s">
        <v>119</v>
      </c>
      <c r="B41" s="82">
        <v>21306.5</v>
      </c>
      <c r="C41" s="82">
        <v>8858.7</v>
      </c>
      <c r="D41" s="82">
        <v>9505.5</v>
      </c>
      <c r="E41" s="86">
        <f t="shared" si="2"/>
        <v>44.613146222983595</v>
      </c>
      <c r="F41" s="86">
        <v>538.73</v>
      </c>
      <c r="G41" s="85">
        <v>10000.6</v>
      </c>
      <c r="H41" s="48">
        <f t="shared" si="1"/>
        <v>95.04929704217746</v>
      </c>
      <c r="I41" s="30">
        <f>D41-Июль!D41</f>
        <v>1109.5</v>
      </c>
    </row>
    <row r="42" spans="1:9" ht="51">
      <c r="A42" s="56" t="s">
        <v>147</v>
      </c>
      <c r="B42" s="82">
        <v>64.2</v>
      </c>
      <c r="C42" s="82">
        <v>42.8</v>
      </c>
      <c r="D42" s="82">
        <v>11.1</v>
      </c>
      <c r="E42" s="86">
        <f t="shared" si="2"/>
        <v>17.289719626168225</v>
      </c>
      <c r="F42" s="86"/>
      <c r="G42" s="87">
        <v>16.68</v>
      </c>
      <c r="H42" s="48">
        <f t="shared" si="1"/>
        <v>66.54676258992805</v>
      </c>
      <c r="I42" s="30">
        <f>D42-Июль!D42</f>
        <v>0.6999999999999993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 t="shared" si="2"/>
        <v>17.458692791343765</v>
      </c>
      <c r="F43" s="86">
        <v>0</v>
      </c>
      <c r="G43" s="87">
        <v>2879.95</v>
      </c>
      <c r="H43" s="48">
        <f t="shared" si="1"/>
        <v>16.583621243424368</v>
      </c>
      <c r="I43" s="30">
        <f>D43-Июль!D43</f>
        <v>0</v>
      </c>
    </row>
    <row r="44" spans="1:9" ht="76.5">
      <c r="A44" s="60" t="s">
        <v>121</v>
      </c>
      <c r="B44" s="82">
        <v>4080.2</v>
      </c>
      <c r="C44" s="82">
        <v>2786.8</v>
      </c>
      <c r="D44" s="82">
        <v>2075.2</v>
      </c>
      <c r="E44" s="86">
        <f t="shared" si="2"/>
        <v>50.8602519484339</v>
      </c>
      <c r="F44" s="86">
        <v>236.15</v>
      </c>
      <c r="G44" s="30">
        <v>3015.16</v>
      </c>
      <c r="H44" s="48">
        <f t="shared" si="1"/>
        <v>68.82553496331869</v>
      </c>
      <c r="I44" s="30">
        <f>D44-Июль!D44</f>
        <v>319.7999999999997</v>
      </c>
    </row>
    <row r="45" spans="1:9" ht="27" customHeight="1">
      <c r="A45" s="53" t="s">
        <v>13</v>
      </c>
      <c r="B45" s="87">
        <v>766.9</v>
      </c>
      <c r="C45" s="87">
        <v>731.1</v>
      </c>
      <c r="D45" s="87">
        <v>556.6</v>
      </c>
      <c r="E45" s="86">
        <f t="shared" si="2"/>
        <v>72.57791107054375</v>
      </c>
      <c r="F45" s="86">
        <v>43.6</v>
      </c>
      <c r="G45" s="85">
        <v>433.84</v>
      </c>
      <c r="H45" s="86">
        <f t="shared" si="1"/>
        <v>128.29614604462475</v>
      </c>
      <c r="I45" s="30">
        <f>D45-Июль!D45</f>
        <v>1.6000000000000227</v>
      </c>
    </row>
    <row r="46" spans="1:9" ht="25.5">
      <c r="A46" s="53" t="s">
        <v>96</v>
      </c>
      <c r="B46" s="87">
        <v>9478.5</v>
      </c>
      <c r="C46" s="87">
        <v>8751.8</v>
      </c>
      <c r="D46" s="87">
        <v>9675.5</v>
      </c>
      <c r="E46" s="86">
        <f t="shared" si="2"/>
        <v>102.07838793057972</v>
      </c>
      <c r="F46" s="86">
        <v>561.58</v>
      </c>
      <c r="G46" s="85">
        <v>1236.59</v>
      </c>
      <c r="H46" s="86">
        <f t="shared" si="1"/>
        <v>782.4339514309513</v>
      </c>
      <c r="I46" s="30">
        <f>D46-Июль!D46</f>
        <v>302.7000000000007</v>
      </c>
    </row>
    <row r="47" spans="1:9" ht="25.5">
      <c r="A47" s="59" t="s">
        <v>14</v>
      </c>
      <c r="B47" s="87">
        <f>SUM(B48:B50)</f>
        <v>12400</v>
      </c>
      <c r="C47" s="87">
        <v>2481.8</v>
      </c>
      <c r="D47" s="87">
        <v>2383</v>
      </c>
      <c r="E47" s="86">
        <f t="shared" si="2"/>
        <v>19.217741935483872</v>
      </c>
      <c r="F47" s="86">
        <v>585.5</v>
      </c>
      <c r="G47" s="85">
        <v>3561.23</v>
      </c>
      <c r="H47" s="86">
        <f t="shared" si="1"/>
        <v>66.9150827101872</v>
      </c>
      <c r="I47" s="30">
        <f>D47-Июль!D47</f>
        <v>542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30">
        <v>52.69</v>
      </c>
      <c r="H48" s="48">
        <f t="shared" si="1"/>
        <v>0</v>
      </c>
      <c r="I48" s="30">
        <f>D48-Июль!D48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1497.25</v>
      </c>
      <c r="H49" s="48">
        <v>0</v>
      </c>
      <c r="I49" s="30">
        <f>D49-Июль!D49</f>
        <v>0</v>
      </c>
    </row>
    <row r="50" spans="1:9" ht="14.25" customHeight="1">
      <c r="A50" s="60" t="s">
        <v>93</v>
      </c>
      <c r="B50" s="83">
        <v>3900</v>
      </c>
      <c r="C50" s="83">
        <v>2481.8</v>
      </c>
      <c r="D50" s="83">
        <v>2383</v>
      </c>
      <c r="E50" s="86">
        <f aca="true" t="shared" si="3" ref="E50:E72">$D:$D/$B:$B*100</f>
        <v>61.1025641025641</v>
      </c>
      <c r="F50" s="86">
        <v>548.36</v>
      </c>
      <c r="G50" s="85">
        <v>2011.29</v>
      </c>
      <c r="H50" s="48">
        <f aca="true" t="shared" si="4" ref="H50:H69">$D:$D/$G:$G*100</f>
        <v>118.48117377404552</v>
      </c>
      <c r="I50" s="30">
        <f>D50-Июль!D50</f>
        <v>542</v>
      </c>
    </row>
    <row r="51" spans="1:9" ht="12.75">
      <c r="A51" s="53" t="s">
        <v>15</v>
      </c>
      <c r="B51" s="85">
        <v>5222.7</v>
      </c>
      <c r="C51" s="85">
        <v>1973.3</v>
      </c>
      <c r="D51" s="85">
        <v>4680.7</v>
      </c>
      <c r="E51" s="86">
        <f t="shared" si="3"/>
        <v>89.6222260516591</v>
      </c>
      <c r="F51" s="86">
        <v>179.73</v>
      </c>
      <c r="G51" s="85">
        <v>7033.26</v>
      </c>
      <c r="H51" s="86">
        <f t="shared" si="4"/>
        <v>66.55093086278625</v>
      </c>
      <c r="I51" s="30">
        <f>D51-Июль!D51</f>
        <v>637.6999999999998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 t="shared" si="3"/>
        <v>0</v>
      </c>
      <c r="F52" s="86"/>
      <c r="G52" s="85"/>
      <c r="H52" s="48" t="e">
        <f t="shared" si="4"/>
        <v>#DIV/0!</v>
      </c>
      <c r="I52" s="30">
        <f>D52-Июль!D52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 t="shared" si="3"/>
        <v>0</v>
      </c>
      <c r="F53" s="86"/>
      <c r="G53" s="85"/>
      <c r="H53" s="48" t="e">
        <f t="shared" si="4"/>
        <v>#DIV/0!</v>
      </c>
      <c r="I53" s="30">
        <f>D53-Июль!D53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 t="shared" si="3"/>
        <v>0</v>
      </c>
      <c r="F54" s="86"/>
      <c r="G54" s="85"/>
      <c r="H54" s="48" t="e">
        <f t="shared" si="4"/>
        <v>#DIV/0!</v>
      </c>
      <c r="I54" s="30">
        <f>D54-Июль!D54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 t="shared" si="3"/>
        <v>0</v>
      </c>
      <c r="F55" s="86"/>
      <c r="G55" s="85"/>
      <c r="H55" s="48" t="e">
        <f t="shared" si="4"/>
        <v>#DIV/0!</v>
      </c>
      <c r="I55" s="30">
        <f>D55-Июль!D55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 t="shared" si="3"/>
        <v>0</v>
      </c>
      <c r="F56" s="86"/>
      <c r="G56" s="85"/>
      <c r="H56" s="48" t="e">
        <f t="shared" si="4"/>
        <v>#DIV/0!</v>
      </c>
      <c r="I56" s="30">
        <f>D56-Июль!D56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 t="shared" si="3"/>
        <v>0</v>
      </c>
      <c r="F57" s="86"/>
      <c r="G57" s="85"/>
      <c r="H57" s="48" t="e">
        <f t="shared" si="4"/>
        <v>#DIV/0!</v>
      </c>
      <c r="I57" s="30">
        <f>D57-Июль!D57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 t="shared" si="3"/>
        <v>0</v>
      </c>
      <c r="F58" s="86"/>
      <c r="G58" s="85"/>
      <c r="H58" s="48" t="e">
        <f t="shared" si="4"/>
        <v>#DIV/0!</v>
      </c>
      <c r="I58" s="30">
        <f>D58-Июль!D58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 t="shared" si="3"/>
        <v>0</v>
      </c>
      <c r="F59" s="86"/>
      <c r="G59" s="85"/>
      <c r="H59" s="48" t="e">
        <f t="shared" si="4"/>
        <v>#DIV/0!</v>
      </c>
      <c r="I59" s="30">
        <f>D59-Июль!D59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 t="shared" si="3"/>
        <v>0</v>
      </c>
      <c r="F60" s="86"/>
      <c r="G60" s="85"/>
      <c r="H60" s="48" t="e">
        <f t="shared" si="4"/>
        <v>#DIV/0!</v>
      </c>
      <c r="I60" s="30">
        <f>D60-Июль!D60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 t="shared" si="3"/>
        <v>0</v>
      </c>
      <c r="F61" s="86"/>
      <c r="G61" s="85"/>
      <c r="H61" s="48" t="e">
        <f t="shared" si="4"/>
        <v>#DIV/0!</v>
      </c>
      <c r="I61" s="30">
        <f>D61-Июль!D61</f>
        <v>0</v>
      </c>
    </row>
    <row r="62" spans="1:9" ht="12.75">
      <c r="A62" s="52" t="s">
        <v>16</v>
      </c>
      <c r="B62" s="81">
        <v>50</v>
      </c>
      <c r="C62" s="81">
        <v>33.3</v>
      </c>
      <c r="D62" s="81">
        <v>7.1</v>
      </c>
      <c r="E62" s="86">
        <f t="shared" si="3"/>
        <v>14.2</v>
      </c>
      <c r="F62" s="86">
        <v>-38.79</v>
      </c>
      <c r="G62" s="85">
        <v>28.86</v>
      </c>
      <c r="H62" s="86">
        <f t="shared" si="4"/>
        <v>24.601524601524602</v>
      </c>
      <c r="I62" s="30">
        <f>D62-Июль!D62</f>
        <v>-77.7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451330.62</v>
      </c>
      <c r="D63" s="87">
        <f>D62+D51+D47+D46+D45+D36+D29+D26+D21+D16+D8</f>
        <v>448648.5</v>
      </c>
      <c r="E63" s="86">
        <f t="shared" si="3"/>
        <v>61.36493636982616</v>
      </c>
      <c r="F63" s="86">
        <v>27699.089999999997</v>
      </c>
      <c r="G63" s="85">
        <v>371549.5</v>
      </c>
      <c r="H63" s="86">
        <f t="shared" si="4"/>
        <v>120.75066713856431</v>
      </c>
      <c r="I63" s="30">
        <f>D63-Июль!D63</f>
        <v>45041</v>
      </c>
    </row>
    <row r="64" spans="1:9" ht="12.75">
      <c r="A64" s="59" t="s">
        <v>18</v>
      </c>
      <c r="B64" s="85">
        <f>B65+B70+B71</f>
        <v>3497890.6</v>
      </c>
      <c r="C64" s="85">
        <f>C65+C70+C71</f>
        <v>1627365.3000000003</v>
      </c>
      <c r="D64" s="85">
        <f>D65+D70+D71</f>
        <v>1671244.2000000002</v>
      </c>
      <c r="E64" s="86">
        <f t="shared" si="3"/>
        <v>47.778629783332846</v>
      </c>
      <c r="F64" s="86">
        <v>43822.57000000001</v>
      </c>
      <c r="G64" s="85">
        <v>1161623.88</v>
      </c>
      <c r="H64" s="86">
        <f t="shared" si="4"/>
        <v>143.87137082615763</v>
      </c>
      <c r="I64" s="30">
        <f>D64-Июль!D64</f>
        <v>444153.40000000014</v>
      </c>
    </row>
    <row r="65" spans="1:9" ht="25.5">
      <c r="A65" s="59" t="s">
        <v>19</v>
      </c>
      <c r="B65" s="85">
        <f>SUM(B66:B69)</f>
        <v>3476308.2</v>
      </c>
      <c r="C65" s="85">
        <f>SUM(C66:C69)</f>
        <v>1645738.2000000002</v>
      </c>
      <c r="D65" s="85">
        <f>SUM(D66:D69)</f>
        <v>1689617.1</v>
      </c>
      <c r="E65" s="86">
        <f t="shared" si="3"/>
        <v>48.603777421115886</v>
      </c>
      <c r="F65" s="86">
        <v>46091.770000000004</v>
      </c>
      <c r="G65" s="87">
        <v>1164469.18</v>
      </c>
      <c r="H65" s="86">
        <f t="shared" si="4"/>
        <v>145.09762293579982</v>
      </c>
      <c r="I65" s="30">
        <f>D65-Июль!D65</f>
        <v>444153.40000000014</v>
      </c>
    </row>
    <row r="66" spans="1:9" ht="12.75">
      <c r="A66" s="56" t="s">
        <v>108</v>
      </c>
      <c r="B66" s="85">
        <v>480567.2</v>
      </c>
      <c r="C66" s="85">
        <v>320467.5</v>
      </c>
      <c r="D66" s="85">
        <v>364346.4</v>
      </c>
      <c r="E66" s="86">
        <f t="shared" si="3"/>
        <v>75.81591086532747</v>
      </c>
      <c r="F66" s="86">
        <v>15902.8</v>
      </c>
      <c r="G66" s="30">
        <v>281956.1</v>
      </c>
      <c r="H66" s="48">
        <f t="shared" si="4"/>
        <v>129.22096737754566</v>
      </c>
      <c r="I66" s="30">
        <f>D66-Июль!D66</f>
        <v>93483.80000000005</v>
      </c>
    </row>
    <row r="67" spans="1:9" ht="12.75" customHeight="1">
      <c r="A67" s="56" t="s">
        <v>109</v>
      </c>
      <c r="B67" s="85">
        <v>1720307.9</v>
      </c>
      <c r="C67" s="85">
        <v>582812.4</v>
      </c>
      <c r="D67" s="85">
        <v>582812.4</v>
      </c>
      <c r="E67" s="86">
        <f t="shared" si="3"/>
        <v>33.878377237005076</v>
      </c>
      <c r="F67" s="86">
        <v>0</v>
      </c>
      <c r="G67" s="30">
        <v>202911.46</v>
      </c>
      <c r="H67" s="48">
        <f t="shared" si="4"/>
        <v>287.22497980153514</v>
      </c>
      <c r="I67" s="30">
        <f>D67-Июль!D67</f>
        <v>268712.5</v>
      </c>
    </row>
    <row r="68" spans="1:9" ht="18.75" customHeight="1">
      <c r="A68" s="56" t="s">
        <v>110</v>
      </c>
      <c r="B68" s="85">
        <v>1197698.9</v>
      </c>
      <c r="C68" s="85">
        <v>698067.8</v>
      </c>
      <c r="D68" s="85">
        <v>698067.8</v>
      </c>
      <c r="E68" s="86">
        <f t="shared" si="3"/>
        <v>58.2840812494693</v>
      </c>
      <c r="F68" s="86">
        <v>30188.97</v>
      </c>
      <c r="G68" s="30">
        <v>647204.72</v>
      </c>
      <c r="H68" s="48">
        <f t="shared" si="4"/>
        <v>107.85888582518372</v>
      </c>
      <c r="I68" s="30">
        <f>D68-Июль!D68</f>
        <v>72868.40000000002</v>
      </c>
    </row>
    <row r="69" spans="1:9" ht="12.75" customHeight="1">
      <c r="A69" s="2" t="s">
        <v>122</v>
      </c>
      <c r="B69" s="82">
        <v>77734.2</v>
      </c>
      <c r="C69" s="82">
        <v>44390.5</v>
      </c>
      <c r="D69" s="82">
        <v>44390.5</v>
      </c>
      <c r="E69" s="86">
        <f t="shared" si="3"/>
        <v>57.105495393276065</v>
      </c>
      <c r="F69" s="86">
        <v>0</v>
      </c>
      <c r="G69" s="30">
        <v>32396.9</v>
      </c>
      <c r="H69" s="48">
        <f t="shared" si="4"/>
        <v>137.02082606669157</v>
      </c>
      <c r="I69" s="30">
        <f>D69-Июль!D69</f>
        <v>9088.699999999997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 t="shared" si="3"/>
        <v>0</v>
      </c>
      <c r="F70" s="86">
        <v>0</v>
      </c>
      <c r="G70" s="30"/>
      <c r="H70" s="48">
        <v>0</v>
      </c>
      <c r="I70" s="30">
        <f>D70-Июль!D70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 t="shared" si="3"/>
        <v>100</v>
      </c>
      <c r="F71" s="86">
        <v>-2269.2</v>
      </c>
      <c r="G71" s="30">
        <v>-2845.2999999999993</v>
      </c>
      <c r="H71" s="86">
        <f>$D:$D/$G:$G*100</f>
        <v>645.7280427371458</v>
      </c>
      <c r="I71" s="30">
        <f>D71-Июль!D71</f>
        <v>0</v>
      </c>
    </row>
    <row r="72" spans="1:9" ht="12.75">
      <c r="A72" s="52" t="s">
        <v>20</v>
      </c>
      <c r="B72" s="87">
        <f>B63+B64</f>
        <v>4229006</v>
      </c>
      <c r="C72" s="87">
        <f>C63+C64</f>
        <v>2078695.9200000004</v>
      </c>
      <c r="D72" s="87">
        <f>D63+D64</f>
        <v>2119892.7</v>
      </c>
      <c r="E72" s="86">
        <f t="shared" si="3"/>
        <v>50.1274460239593</v>
      </c>
      <c r="F72" s="86">
        <v>71521.66</v>
      </c>
      <c r="G72" s="30">
        <v>1533173.4</v>
      </c>
      <c r="H72" s="86">
        <f>$D:$D/$G:$G*100</f>
        <v>138.2682937233323</v>
      </c>
      <c r="I72" s="30">
        <f>D72-Июль!D72</f>
        <v>489194.40000000014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0">
        <f>B79+B80+B81+B82+B83+B84+B85+B86</f>
        <v>452278.5</v>
      </c>
      <c r="C78" s="30">
        <f>C79+C80+C81+C82+C83+C84+C85+C86</f>
        <v>119382.1</v>
      </c>
      <c r="D78" s="30">
        <f>D79+D80+D81+D82+D83+D84+D85+D86</f>
        <v>113583.8</v>
      </c>
      <c r="E78" s="86">
        <f>$D:$D/$B:$B*100</f>
        <v>25.113685483612418</v>
      </c>
      <c r="F78" s="86">
        <f>$D:$D/$C:$C*100</f>
        <v>95.14307421296827</v>
      </c>
      <c r="G78" s="35">
        <f>G79+G80+G81+G82+G83+G84+G85+G86</f>
        <v>86773.2</v>
      </c>
      <c r="H78" s="86">
        <f aca="true" t="shared" si="5" ref="H78:H83">$D:$D/$G:$G*100</f>
        <v>130.89732774635488</v>
      </c>
      <c r="I78" s="30">
        <f>I79+I80+I81+I82+I83+I84+I85+I86</f>
        <v>21673.090000000004</v>
      </c>
    </row>
    <row r="79" spans="1:9" ht="14.25" customHeight="1">
      <c r="A79" s="8" t="s">
        <v>24</v>
      </c>
      <c r="B79" s="82">
        <v>2984.6</v>
      </c>
      <c r="C79" s="71">
        <v>1747.7</v>
      </c>
      <c r="D79" s="71">
        <v>1639.2</v>
      </c>
      <c r="E79" s="48">
        <f>$D:$D/$B:$B*100</f>
        <v>54.92193258728138</v>
      </c>
      <c r="F79" s="48">
        <v>0</v>
      </c>
      <c r="G79" s="36">
        <v>1635.6</v>
      </c>
      <c r="H79" s="48">
        <f t="shared" si="5"/>
        <v>100.22010271460016</v>
      </c>
      <c r="I79" s="82">
        <f>D79-Июль!D79</f>
        <v>260.1300000000001</v>
      </c>
    </row>
    <row r="80" spans="1:9" ht="12.75">
      <c r="A80" s="8" t="s">
        <v>25</v>
      </c>
      <c r="B80" s="82">
        <v>6999</v>
      </c>
      <c r="C80" s="71">
        <v>4528.8</v>
      </c>
      <c r="D80" s="71">
        <v>4379.1</v>
      </c>
      <c r="E80" s="48">
        <f>$D:$D/$B:$B*100</f>
        <v>62.567509644234896</v>
      </c>
      <c r="F80" s="48">
        <f>$D:$D/$C:$C*100</f>
        <v>96.69448860625332</v>
      </c>
      <c r="G80" s="36">
        <v>4039.7</v>
      </c>
      <c r="H80" s="48">
        <f t="shared" si="5"/>
        <v>108.40161398123624</v>
      </c>
      <c r="I80" s="82">
        <f>D80-Июль!D80</f>
        <v>854.8000000000002</v>
      </c>
    </row>
    <row r="81" spans="1:9" ht="25.5">
      <c r="A81" s="8" t="s">
        <v>26</v>
      </c>
      <c r="B81" s="82">
        <v>68698.4</v>
      </c>
      <c r="C81" s="71">
        <v>39522.7</v>
      </c>
      <c r="D81" s="71">
        <v>36327.5</v>
      </c>
      <c r="E81" s="48">
        <f>$D:$D/$B:$B*100</f>
        <v>52.87968860992396</v>
      </c>
      <c r="F81" s="48">
        <f>$D:$D/$C:$C*100</f>
        <v>91.91553208662364</v>
      </c>
      <c r="G81" s="36">
        <v>37301.7</v>
      </c>
      <c r="H81" s="48">
        <f t="shared" si="5"/>
        <v>97.38832278421627</v>
      </c>
      <c r="I81" s="82">
        <f>D81-Июль!D81</f>
        <v>3691.5800000000017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 t="shared" si="5"/>
        <v>598.5915492957747</v>
      </c>
      <c r="I82" s="82">
        <f>D82-Июль!D82</f>
        <v>0</v>
      </c>
    </row>
    <row r="83" spans="1:9" ht="25.5">
      <c r="A83" s="1" t="s">
        <v>27</v>
      </c>
      <c r="B83" s="85">
        <v>16486.5</v>
      </c>
      <c r="C83" s="71">
        <v>10436</v>
      </c>
      <c r="D83" s="71">
        <v>9603.7</v>
      </c>
      <c r="E83" s="48">
        <f>$D:$D/$B:$B*100</f>
        <v>58.251903072210595</v>
      </c>
      <c r="F83" s="48">
        <v>0</v>
      </c>
      <c r="G83" s="28">
        <v>9438.6</v>
      </c>
      <c r="H83" s="48">
        <f t="shared" si="5"/>
        <v>101.74920009323417</v>
      </c>
      <c r="I83" s="82">
        <f>D83-Июль!D83</f>
        <v>1299.42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D84-Июль!D84</f>
        <v>0</v>
      </c>
    </row>
    <row r="85" spans="1:9" ht="12.75">
      <c r="A85" s="8" t="s">
        <v>29</v>
      </c>
      <c r="B85" s="82">
        <v>1679.7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D85-Июль!D85</f>
        <v>0</v>
      </c>
    </row>
    <row r="86" spans="1:9" ht="12.75">
      <c r="A86" s="1" t="s">
        <v>30</v>
      </c>
      <c r="B86" s="82">
        <v>346602.6</v>
      </c>
      <c r="C86" s="71">
        <v>54476.9</v>
      </c>
      <c r="D86" s="71">
        <v>52964.3</v>
      </c>
      <c r="E86" s="48">
        <f>$D:$D/$B:$B*100</f>
        <v>15.280987505575553</v>
      </c>
      <c r="F86" s="48">
        <f>$D:$D/$C:$C*100</f>
        <v>97.22341028949886</v>
      </c>
      <c r="G86" s="36">
        <v>34329.2</v>
      </c>
      <c r="H86" s="48">
        <f>$D:$D/$G:$G*100</f>
        <v>154.28352539529033</v>
      </c>
      <c r="I86" s="82">
        <f>D86-Июль!D86</f>
        <v>15567.160000000003</v>
      </c>
    </row>
    <row r="87" spans="1:9" ht="12.75">
      <c r="A87" s="7" t="s">
        <v>31</v>
      </c>
      <c r="B87" s="87">
        <v>455</v>
      </c>
      <c r="C87" s="94">
        <v>269.6</v>
      </c>
      <c r="D87" s="94">
        <v>269.6</v>
      </c>
      <c r="E87" s="86">
        <f>$D:$D/$B:$B*100</f>
        <v>59.25274725274726</v>
      </c>
      <c r="F87" s="86">
        <f>$D:$D/$C:$C*100</f>
        <v>100</v>
      </c>
      <c r="G87" s="35">
        <v>201.1</v>
      </c>
      <c r="H87" s="86">
        <f>$D:$D/$G:$G*100</f>
        <v>134.06265539532572</v>
      </c>
      <c r="I87" s="30">
        <f>D87-Июль!D87</f>
        <v>24.370000000000033</v>
      </c>
    </row>
    <row r="88" spans="1:9" ht="25.5">
      <c r="A88" s="9" t="s">
        <v>32</v>
      </c>
      <c r="B88" s="87">
        <v>13345</v>
      </c>
      <c r="C88" s="94">
        <v>3727</v>
      </c>
      <c r="D88" s="94">
        <v>3726.7</v>
      </c>
      <c r="E88" s="86">
        <f>$D:$D/$B:$B*100</f>
        <v>27.925814911952042</v>
      </c>
      <c r="F88" s="86">
        <f>$D:$D/$C:$C*100</f>
        <v>99.99195063053394</v>
      </c>
      <c r="G88" s="27">
        <v>2716.3</v>
      </c>
      <c r="H88" s="86">
        <f>$D:$D/$G:$G*100</f>
        <v>137.19765857968557</v>
      </c>
      <c r="I88" s="30">
        <f>D88-Июль!D88</f>
        <v>319.21000000000004</v>
      </c>
    </row>
    <row r="89" spans="1:9" ht="12.75">
      <c r="A89" s="7" t="s">
        <v>33</v>
      </c>
      <c r="B89" s="30">
        <f>B90+B91+B92+B93+B94</f>
        <v>613519.31</v>
      </c>
      <c r="C89" s="30">
        <f>C90+C91+C92+C93+C94</f>
        <v>180637</v>
      </c>
      <c r="D89" s="30">
        <f>D90+D91+D92+D93+D94</f>
        <v>179842.9</v>
      </c>
      <c r="E89" s="86">
        <f>$D:$D/$B:$B*100</f>
        <v>29.313323487731786</v>
      </c>
      <c r="F89" s="86">
        <f>$D:$D/$C:$C*100</f>
        <v>99.56038906757752</v>
      </c>
      <c r="G89" s="35">
        <f>G90+G91+G92+G93+G94</f>
        <v>76995.29999999999</v>
      </c>
      <c r="H89" s="86">
        <f>$D:$D/$G:$G*100</f>
        <v>233.57646505695806</v>
      </c>
      <c r="I89" s="30">
        <f>D89-Июль!D89</f>
        <v>16903.319999999978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D90-Июль!D90</f>
        <v>0</v>
      </c>
    </row>
    <row r="91" spans="1:9" ht="12.75" customHeight="1">
      <c r="A91" s="10" t="s">
        <v>67</v>
      </c>
      <c r="B91" s="82">
        <v>4.2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D91-Июль!D91</f>
        <v>0</v>
      </c>
    </row>
    <row r="92" spans="1:9" ht="12.75">
      <c r="A92" s="8" t="s">
        <v>34</v>
      </c>
      <c r="B92" s="82">
        <v>27875.61</v>
      </c>
      <c r="C92" s="71">
        <v>16188.6</v>
      </c>
      <c r="D92" s="71">
        <v>16188.5</v>
      </c>
      <c r="E92" s="48">
        <f>$D:$D/$B:$B*100</f>
        <v>58.07406546439701</v>
      </c>
      <c r="F92" s="48">
        <v>0</v>
      </c>
      <c r="G92" s="36">
        <v>15173.6</v>
      </c>
      <c r="H92" s="48">
        <f>$D:$D/$G:$G*100</f>
        <v>106.68859071018085</v>
      </c>
      <c r="I92" s="82">
        <f>D92-Июль!D92</f>
        <v>2367.120000000001</v>
      </c>
    </row>
    <row r="93" spans="1:9" ht="12.75">
      <c r="A93" s="10" t="s">
        <v>77</v>
      </c>
      <c r="B93" s="85">
        <v>541217.7</v>
      </c>
      <c r="C93" s="71">
        <v>142335.3</v>
      </c>
      <c r="D93" s="71">
        <v>142335.3</v>
      </c>
      <c r="E93" s="48">
        <f>$D:$D/$B:$B*100</f>
        <v>26.29908445344637</v>
      </c>
      <c r="F93" s="48">
        <f>$D:$D/$C:$C*100</f>
        <v>100</v>
      </c>
      <c r="G93" s="28">
        <v>38433.6</v>
      </c>
      <c r="H93" s="48">
        <f>$D:$D/$G:$G*100</f>
        <v>370.34079555389036</v>
      </c>
      <c r="I93" s="82">
        <f>D93-Июль!D93</f>
        <v>5646.099999999977</v>
      </c>
    </row>
    <row r="94" spans="1:9" ht="12.75">
      <c r="A94" s="8" t="s">
        <v>35</v>
      </c>
      <c r="B94" s="82">
        <v>44421.8</v>
      </c>
      <c r="C94" s="71">
        <v>22113.1</v>
      </c>
      <c r="D94" s="71">
        <v>21319.1</v>
      </c>
      <c r="E94" s="48">
        <f>$D:$D/$B:$B*100</f>
        <v>47.99242714162865</v>
      </c>
      <c r="F94" s="48">
        <f>$D:$D/$C:$C*100</f>
        <v>96.40936820255867</v>
      </c>
      <c r="G94" s="36">
        <v>23388.1</v>
      </c>
      <c r="H94" s="48">
        <f>$D:$D/$G:$G*100</f>
        <v>91.15362085847076</v>
      </c>
      <c r="I94" s="82">
        <f>D94-Июль!D94</f>
        <v>8890.099999999999</v>
      </c>
    </row>
    <row r="95" spans="1:9" ht="12.75">
      <c r="A95" s="7" t="s">
        <v>36</v>
      </c>
      <c r="B95" s="30">
        <f>B97+B98+B99+B96</f>
        <v>739384.8</v>
      </c>
      <c r="C95" s="87">
        <f>C97+C98+C99+C96</f>
        <v>164395.5</v>
      </c>
      <c r="D95" s="30">
        <f>D97+D98+D99+D96</f>
        <v>156800.5</v>
      </c>
      <c r="E95" s="30">
        <f>E98+E99+E96</f>
        <v>50.87133984596066</v>
      </c>
      <c r="F95" s="86">
        <f>$D:$D/$C:$C*100</f>
        <v>95.38004385764816</v>
      </c>
      <c r="G95" s="35">
        <f>G97+G98+G99+G96</f>
        <v>160725.1</v>
      </c>
      <c r="H95" s="30">
        <f>H97+H98+H99</f>
        <v>340.35168178678055</v>
      </c>
      <c r="I95" s="30">
        <f>D95-Июль!D95</f>
        <v>58924.57000000001</v>
      </c>
    </row>
    <row r="96" spans="1:9" ht="12.75">
      <c r="A96" s="8" t="s">
        <v>37</v>
      </c>
      <c r="B96" s="71">
        <v>39736.31</v>
      </c>
      <c r="C96" s="71">
        <v>12024.7</v>
      </c>
      <c r="D96" s="71">
        <v>12024.7</v>
      </c>
      <c r="E96" s="48">
        <v>0</v>
      </c>
      <c r="F96" s="48">
        <v>0</v>
      </c>
      <c r="G96" s="71">
        <v>62073.3</v>
      </c>
      <c r="H96" s="48">
        <f>$D:$D/$G:$G*100</f>
        <v>19.37177498215819</v>
      </c>
      <c r="I96" s="82">
        <f>D96-Июль!D96</f>
        <v>7535.300000000001</v>
      </c>
    </row>
    <row r="97" spans="1:9" ht="12.75">
      <c r="A97" s="8" t="s">
        <v>38</v>
      </c>
      <c r="B97" s="82">
        <v>37372.3</v>
      </c>
      <c r="C97" s="71">
        <v>762.7</v>
      </c>
      <c r="D97" s="71">
        <v>762.7</v>
      </c>
      <c r="E97" s="48">
        <f aca="true" t="shared" si="6" ref="E97:E102">$D:$D/$B:$B*100</f>
        <v>2.0408163265306123</v>
      </c>
      <c r="F97" s="48">
        <v>0</v>
      </c>
      <c r="G97" s="36">
        <v>12599.7</v>
      </c>
      <c r="H97" s="48">
        <f>$D:$D/$G:$G*100</f>
        <v>6.053318729811028</v>
      </c>
      <c r="I97" s="82">
        <f>D97-Июль!D97</f>
        <v>126.95000000000005</v>
      </c>
    </row>
    <row r="98" spans="1:9" ht="12.75">
      <c r="A98" s="8" t="s">
        <v>39</v>
      </c>
      <c r="B98" s="82">
        <v>472358.6</v>
      </c>
      <c r="C98" s="71">
        <v>79271.6</v>
      </c>
      <c r="D98" s="71">
        <v>79271.6</v>
      </c>
      <c r="E98" s="48">
        <f t="shared" si="6"/>
        <v>16.782080394005742</v>
      </c>
      <c r="F98" s="48">
        <f>$D:$D/$C:$C*100</f>
        <v>100</v>
      </c>
      <c r="G98" s="36">
        <v>46759.9</v>
      </c>
      <c r="H98" s="48">
        <f>$D:$D/$G:$G*100</f>
        <v>169.5290195231384</v>
      </c>
      <c r="I98" s="82">
        <f>D98-Июль!D98</f>
        <v>48972.62000000001</v>
      </c>
    </row>
    <row r="99" spans="2:9" ht="12.75">
      <c r="B99" s="82">
        <v>189917.59</v>
      </c>
      <c r="C99" s="71">
        <v>72336.5</v>
      </c>
      <c r="D99" s="71">
        <v>64741.5</v>
      </c>
      <c r="E99" s="48">
        <f t="shared" si="6"/>
        <v>34.08925945195492</v>
      </c>
      <c r="F99" s="48">
        <f>$D:$D/$C:$C*100</f>
        <v>89.5004596572961</v>
      </c>
      <c r="G99" s="36">
        <v>39292.2</v>
      </c>
      <c r="H99" s="48">
        <f>$D:$D/$G:$G*100</f>
        <v>164.76934353383115</v>
      </c>
      <c r="I99" s="82">
        <f>D99-Июль!D99</f>
        <v>2289.699999999997</v>
      </c>
    </row>
    <row r="100" spans="1:9" ht="12.75">
      <c r="A100" s="11" t="s">
        <v>115</v>
      </c>
      <c r="B100" s="30">
        <f>B101+B102</f>
        <v>17801.59</v>
      </c>
      <c r="C100" s="30">
        <f>C101+C102</f>
        <v>888.6</v>
      </c>
      <c r="D100" s="30">
        <f>D101+D102</f>
        <v>888.6</v>
      </c>
      <c r="E100" s="86">
        <f t="shared" si="6"/>
        <v>4.991688944639215</v>
      </c>
      <c r="F100" s="86"/>
      <c r="G100" s="35">
        <f>G101+G102</f>
        <v>424.4</v>
      </c>
      <c r="H100" s="30">
        <f>H101</f>
        <v>209.37794533459004</v>
      </c>
      <c r="I100" s="30">
        <f>D100-Июль!D100</f>
        <v>255.48000000000002</v>
      </c>
    </row>
    <row r="101" spans="1:9" ht="25.5">
      <c r="A101" s="41" t="s">
        <v>143</v>
      </c>
      <c r="B101" s="82">
        <v>1950.59</v>
      </c>
      <c r="C101" s="71">
        <v>888.6</v>
      </c>
      <c r="D101" s="71">
        <v>888.6</v>
      </c>
      <c r="E101" s="48">
        <f t="shared" si="6"/>
        <v>45.555447326193615</v>
      </c>
      <c r="F101" s="48"/>
      <c r="G101" s="82">
        <v>424.4</v>
      </c>
      <c r="H101" s="48">
        <f>$D:$D/$G:$G*100</f>
        <v>209.37794533459004</v>
      </c>
      <c r="I101" s="82">
        <f>D101-Июль!D101</f>
        <v>255.48000000000002</v>
      </c>
    </row>
    <row r="102" spans="1:9" ht="25.5">
      <c r="A102" s="8" t="s">
        <v>169</v>
      </c>
      <c r="B102" s="82">
        <v>15851</v>
      </c>
      <c r="C102" s="71">
        <v>0</v>
      </c>
      <c r="D102" s="71">
        <v>0</v>
      </c>
      <c r="E102" s="48">
        <f t="shared" si="6"/>
        <v>0</v>
      </c>
      <c r="F102" s="48"/>
      <c r="G102" s="82">
        <v>0</v>
      </c>
      <c r="H102" s="48">
        <v>0</v>
      </c>
      <c r="I102" s="82">
        <f>D102-Июль!D102</f>
        <v>0</v>
      </c>
    </row>
    <row r="103" spans="1:9" ht="12.75">
      <c r="A103" s="11" t="s">
        <v>41</v>
      </c>
      <c r="B103" s="30">
        <f>B104+B105+B107+B108+B109+B106</f>
        <v>1761282.5999999999</v>
      </c>
      <c r="C103" s="30">
        <f>C104+C105+C107+C108+C109+C106</f>
        <v>1065852.9000000001</v>
      </c>
      <c r="D103" s="30">
        <f>D104+D105+D107+D108+D109+D106</f>
        <v>1065404.1</v>
      </c>
      <c r="E103" s="30">
        <f>E104+E105+E108+E109+E107</f>
        <v>273.7271842757101</v>
      </c>
      <c r="F103" s="30">
        <f>F104+F105+F108+F109+F107</f>
        <v>499.5977491214093</v>
      </c>
      <c r="G103" s="35">
        <f>G104+G105+G106+G107+G108+G109</f>
        <v>982559.6000000002</v>
      </c>
      <c r="H103" s="30">
        <f>H104+H105+H108+H109+H107</f>
        <v>491.724748779788</v>
      </c>
      <c r="I103" s="30">
        <f>D103-Июль!D103</f>
        <v>106603.50000000012</v>
      </c>
    </row>
    <row r="104" spans="1:9" ht="12.75">
      <c r="A104" s="8" t="s">
        <v>42</v>
      </c>
      <c r="B104" s="82">
        <v>656862</v>
      </c>
      <c r="C104" s="71">
        <v>402000</v>
      </c>
      <c r="D104" s="71">
        <v>401998.5</v>
      </c>
      <c r="E104" s="48">
        <f aca="true" t="shared" si="7" ref="E104:E122">$D:$D/$B:$B*100</f>
        <v>61.19984106250628</v>
      </c>
      <c r="F104" s="48">
        <f aca="true" t="shared" si="8" ref="F104:F112">$D:$D/$C:$C*100</f>
        <v>99.99962686567164</v>
      </c>
      <c r="G104" s="36">
        <v>377419.9</v>
      </c>
      <c r="H104" s="48">
        <f aca="true" t="shared" si="9" ref="H104:H112">$D:$D/$G:$G*100</f>
        <v>106.51226922586751</v>
      </c>
      <c r="I104" s="82">
        <f>D104-Июль!D104</f>
        <v>40278.65000000002</v>
      </c>
    </row>
    <row r="105" spans="1:9" ht="12.75">
      <c r="A105" s="8" t="s">
        <v>43</v>
      </c>
      <c r="B105" s="82">
        <v>713048.3</v>
      </c>
      <c r="C105" s="71">
        <v>428660.5</v>
      </c>
      <c r="D105" s="71">
        <v>428645.5</v>
      </c>
      <c r="E105" s="48">
        <f t="shared" si="7"/>
        <v>60.11451117687259</v>
      </c>
      <c r="F105" s="48">
        <f t="shared" si="8"/>
        <v>99.99650072726551</v>
      </c>
      <c r="G105" s="36">
        <v>391140.9</v>
      </c>
      <c r="H105" s="48">
        <f t="shared" si="9"/>
        <v>109.58851401119136</v>
      </c>
      <c r="I105" s="82">
        <f>D105-Июль!D105</f>
        <v>42657.48999999999</v>
      </c>
    </row>
    <row r="106" spans="1:9" ht="12.75">
      <c r="A106" s="22" t="s">
        <v>105</v>
      </c>
      <c r="B106" s="82">
        <v>158083.2</v>
      </c>
      <c r="C106" s="71">
        <v>91385.3</v>
      </c>
      <c r="D106" s="71">
        <v>91385.3</v>
      </c>
      <c r="E106" s="48">
        <f t="shared" si="7"/>
        <v>57.808356612214325</v>
      </c>
      <c r="F106" s="48">
        <f t="shared" si="8"/>
        <v>100</v>
      </c>
      <c r="G106" s="36">
        <v>81424.8</v>
      </c>
      <c r="H106" s="48">
        <f t="shared" si="9"/>
        <v>112.23275955237224</v>
      </c>
      <c r="I106" s="82">
        <f>D106-Июль!D106</f>
        <v>4680.4100000000035</v>
      </c>
    </row>
    <row r="107" spans="1:9" ht="25.5">
      <c r="A107" s="8" t="s">
        <v>123</v>
      </c>
      <c r="B107" s="82">
        <v>1665.2</v>
      </c>
      <c r="C107" s="71">
        <v>400.9</v>
      </c>
      <c r="D107" s="71">
        <v>400.9</v>
      </c>
      <c r="E107" s="48">
        <f t="shared" si="7"/>
        <v>24.075186163824164</v>
      </c>
      <c r="F107" s="48">
        <f t="shared" si="8"/>
        <v>100</v>
      </c>
      <c r="G107" s="36">
        <v>659.3</v>
      </c>
      <c r="H107" s="48">
        <f t="shared" si="9"/>
        <v>60.80691642651297</v>
      </c>
      <c r="I107" s="82">
        <f>D107-Июль!D107</f>
        <v>23.72999999999996</v>
      </c>
    </row>
    <row r="108" spans="1:9" ht="12.75">
      <c r="A108" s="8" t="s">
        <v>44</v>
      </c>
      <c r="B108" s="82">
        <v>50916.2</v>
      </c>
      <c r="C108" s="71">
        <v>34891.3</v>
      </c>
      <c r="D108" s="71">
        <v>34891.3</v>
      </c>
      <c r="E108" s="48">
        <f t="shared" si="7"/>
        <v>68.52691284895575</v>
      </c>
      <c r="F108" s="48">
        <f t="shared" si="8"/>
        <v>100</v>
      </c>
      <c r="G108" s="28">
        <v>33087.4</v>
      </c>
      <c r="H108" s="48">
        <f t="shared" si="9"/>
        <v>105.4519242974667</v>
      </c>
      <c r="I108" s="82">
        <f>D108-Июль!D108</f>
        <v>6130.970000000001</v>
      </c>
    </row>
    <row r="109" spans="1:9" ht="12.75">
      <c r="A109" s="8" t="s">
        <v>45</v>
      </c>
      <c r="B109" s="82">
        <v>180707.7</v>
      </c>
      <c r="C109" s="71">
        <v>108514.9</v>
      </c>
      <c r="D109" s="71">
        <v>108082.6</v>
      </c>
      <c r="E109" s="48">
        <f t="shared" si="7"/>
        <v>59.810733023551286</v>
      </c>
      <c r="F109" s="48">
        <f t="shared" si="8"/>
        <v>99.60162152847214</v>
      </c>
      <c r="G109" s="28">
        <v>98827.3</v>
      </c>
      <c r="H109" s="48">
        <f t="shared" si="9"/>
        <v>109.36512481874946</v>
      </c>
      <c r="I109" s="82">
        <f>D109-Июль!D109</f>
        <v>12832.25</v>
      </c>
    </row>
    <row r="110" spans="1:9" ht="25.5">
      <c r="A110" s="11" t="s">
        <v>46</v>
      </c>
      <c r="B110" s="30">
        <f>B111+B112</f>
        <v>330795.5</v>
      </c>
      <c r="C110" s="30">
        <f>C111+C112</f>
        <v>126781.9</v>
      </c>
      <c r="D110" s="30">
        <f>D111+D112</f>
        <v>126781.8</v>
      </c>
      <c r="E110" s="86">
        <f t="shared" si="7"/>
        <v>38.326337571097554</v>
      </c>
      <c r="F110" s="86">
        <f t="shared" si="8"/>
        <v>99.99992112438764</v>
      </c>
      <c r="G110" s="35">
        <f>G111+G112</f>
        <v>90440.09999999999</v>
      </c>
      <c r="H110" s="86">
        <f t="shared" si="9"/>
        <v>140.183170960669</v>
      </c>
      <c r="I110" s="30">
        <f>D110-Июль!D110</f>
        <v>35230.57000000001</v>
      </c>
    </row>
    <row r="111" spans="1:9" ht="12.75">
      <c r="A111" s="8" t="s">
        <v>47</v>
      </c>
      <c r="B111" s="82">
        <v>245920.6</v>
      </c>
      <c r="C111" s="71">
        <v>111081.2</v>
      </c>
      <c r="D111" s="71">
        <v>111081.1</v>
      </c>
      <c r="E111" s="48">
        <f t="shared" si="7"/>
        <v>45.16949779725651</v>
      </c>
      <c r="F111" s="48">
        <f t="shared" si="8"/>
        <v>99.99990997576549</v>
      </c>
      <c r="G111" s="36">
        <v>83610.2</v>
      </c>
      <c r="H111" s="48">
        <f t="shared" si="9"/>
        <v>132.85591949307621</v>
      </c>
      <c r="I111" s="82">
        <f>D111-Июль!D111</f>
        <v>21705.40000000001</v>
      </c>
    </row>
    <row r="112" spans="1:9" ht="25.5">
      <c r="A112" s="8" t="s">
        <v>48</v>
      </c>
      <c r="B112" s="82">
        <v>84874.9</v>
      </c>
      <c r="C112" s="71">
        <v>15700.7</v>
      </c>
      <c r="D112" s="71">
        <v>15700.7</v>
      </c>
      <c r="E112" s="48">
        <f t="shared" si="7"/>
        <v>18.498637406347463</v>
      </c>
      <c r="F112" s="48">
        <f t="shared" si="8"/>
        <v>100</v>
      </c>
      <c r="G112" s="36">
        <v>6829.9</v>
      </c>
      <c r="H112" s="48">
        <f t="shared" si="9"/>
        <v>229.881843072373</v>
      </c>
      <c r="I112" s="82">
        <f>D112-Июль!D112</f>
        <v>13525.17</v>
      </c>
    </row>
    <row r="113" spans="1:9" ht="12.75">
      <c r="A113" s="11" t="s">
        <v>97</v>
      </c>
      <c r="B113" s="30">
        <f>B114</f>
        <v>195.76</v>
      </c>
      <c r="C113" s="30">
        <f>C114</f>
        <v>158.13</v>
      </c>
      <c r="D113" s="30">
        <f>D114</f>
        <v>158.13</v>
      </c>
      <c r="E113" s="86">
        <f t="shared" si="7"/>
        <v>80.77748263179404</v>
      </c>
      <c r="F113" s="86">
        <v>0</v>
      </c>
      <c r="G113" s="35">
        <f>G114</f>
        <v>42.5</v>
      </c>
      <c r="H113" s="48">
        <v>0</v>
      </c>
      <c r="I113" s="82">
        <f>D113-Июль!D113</f>
        <v>0</v>
      </c>
    </row>
    <row r="114" spans="1:9" ht="12.75">
      <c r="A114" s="8" t="s">
        <v>98</v>
      </c>
      <c r="B114" s="82">
        <v>195.76</v>
      </c>
      <c r="C114" s="82">
        <v>158.13</v>
      </c>
      <c r="D114" s="82">
        <v>158.13</v>
      </c>
      <c r="E114" s="48">
        <f t="shared" si="7"/>
        <v>80.77748263179404</v>
      </c>
      <c r="F114" s="48">
        <v>0</v>
      </c>
      <c r="G114" s="36">
        <v>42.5</v>
      </c>
      <c r="H114" s="48">
        <v>0</v>
      </c>
      <c r="I114" s="82">
        <f>D114-Июль!D114</f>
        <v>0</v>
      </c>
    </row>
    <row r="115" spans="1:9" ht="12.75">
      <c r="A115" s="11" t="s">
        <v>49</v>
      </c>
      <c r="B115" s="30">
        <f>B116+B117+B118+B119+B120</f>
        <v>186103.4</v>
      </c>
      <c r="C115" s="30">
        <f>C116+C117+C118+C119+C120</f>
        <v>70037.3</v>
      </c>
      <c r="D115" s="30">
        <f>D116+D117+D118+D119+D120</f>
        <v>63113.4</v>
      </c>
      <c r="E115" s="86">
        <f t="shared" si="7"/>
        <v>33.913082727129115</v>
      </c>
      <c r="F115" s="86">
        <f>$D:$D/$C:$C*100</f>
        <v>90.11398212095555</v>
      </c>
      <c r="G115" s="35">
        <f>SUM(G116:G120)</f>
        <v>68385.7</v>
      </c>
      <c r="H115" s="86">
        <f aca="true" t="shared" si="10" ref="H115:H124">$D:$D/$G:$G*100</f>
        <v>92.29034725096037</v>
      </c>
      <c r="I115" s="30">
        <f>D115-Июль!D115</f>
        <v>12176.579999999994</v>
      </c>
    </row>
    <row r="116" spans="1:9" ht="12.75">
      <c r="A116" s="8" t="s">
        <v>50</v>
      </c>
      <c r="B116" s="82">
        <f>2909.75</f>
        <v>2909.75</v>
      </c>
      <c r="C116" s="71">
        <v>1503.3</v>
      </c>
      <c r="D116" s="71">
        <v>1496.3</v>
      </c>
      <c r="E116" s="48">
        <f t="shared" si="7"/>
        <v>51.423661826617405</v>
      </c>
      <c r="F116" s="48">
        <v>0</v>
      </c>
      <c r="G116" s="36">
        <v>1649</v>
      </c>
      <c r="H116" s="48">
        <f t="shared" si="10"/>
        <v>90.73984232868405</v>
      </c>
      <c r="I116" s="82">
        <f>D116-Июль!D116</f>
        <v>205.15999999999985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 t="shared" si="7"/>
        <v>#DIV/0!</v>
      </c>
      <c r="F117" s="48" t="e">
        <f>$D:$D/$C:$C*100</f>
        <v>#DIV/0!</v>
      </c>
      <c r="G117" s="36">
        <v>0</v>
      </c>
      <c r="H117" s="48" t="e">
        <f t="shared" si="10"/>
        <v>#DIV/0!</v>
      </c>
      <c r="I117" s="82">
        <f>D117-Июль!D117</f>
        <v>0</v>
      </c>
    </row>
    <row r="118" spans="1:9" ht="12.75">
      <c r="A118" s="8" t="s">
        <v>52</v>
      </c>
      <c r="B118" s="85">
        <v>90352.05</v>
      </c>
      <c r="C118" s="71">
        <v>40199.4</v>
      </c>
      <c r="D118" s="71">
        <v>40199.4</v>
      </c>
      <c r="E118" s="48">
        <f t="shared" si="7"/>
        <v>44.491962274237274</v>
      </c>
      <c r="F118" s="48">
        <v>0</v>
      </c>
      <c r="G118" s="36">
        <v>38257.6</v>
      </c>
      <c r="H118" s="48">
        <f t="shared" si="10"/>
        <v>105.07559282338674</v>
      </c>
      <c r="I118" s="82">
        <f>D118-Июль!D118</f>
        <v>92.43000000000029</v>
      </c>
    </row>
    <row r="119" spans="1:9" ht="12.75">
      <c r="A119" s="8" t="s">
        <v>53</v>
      </c>
      <c r="B119" s="82">
        <v>90414.3</v>
      </c>
      <c r="C119" s="71">
        <v>26922.6</v>
      </c>
      <c r="D119" s="71">
        <v>20106.3</v>
      </c>
      <c r="E119" s="48">
        <f t="shared" si="7"/>
        <v>22.23796456976385</v>
      </c>
      <c r="F119" s="48">
        <f>$D:$D/$C:$C*100</f>
        <v>74.68186579305119</v>
      </c>
      <c r="G119" s="28">
        <v>27353.3</v>
      </c>
      <c r="H119" s="48">
        <f t="shared" si="10"/>
        <v>73.5059389543492</v>
      </c>
      <c r="I119" s="82">
        <f>D119-Июль!D119</f>
        <v>11664.89</v>
      </c>
    </row>
    <row r="120" spans="1:9" ht="12.75">
      <c r="A120" s="8" t="s">
        <v>54</v>
      </c>
      <c r="B120" s="82">
        <v>2427.3</v>
      </c>
      <c r="C120" s="71">
        <v>1412</v>
      </c>
      <c r="D120" s="71">
        <v>1311.4</v>
      </c>
      <c r="E120" s="48">
        <f t="shared" si="7"/>
        <v>54.027108309644454</v>
      </c>
      <c r="F120" s="48"/>
      <c r="G120" s="36">
        <v>1125.8</v>
      </c>
      <c r="H120" s="48">
        <f t="shared" si="10"/>
        <v>116.48605436134305</v>
      </c>
      <c r="I120" s="82">
        <f>D120-Июль!D120</f>
        <v>214.10000000000014</v>
      </c>
    </row>
    <row r="121" spans="1:9" ht="12.75">
      <c r="A121" s="11" t="s">
        <v>61</v>
      </c>
      <c r="B121" s="87">
        <f>B122+B123+B124</f>
        <v>227293.21</v>
      </c>
      <c r="C121" s="87">
        <f>C122+C123+C124</f>
        <v>129272.7</v>
      </c>
      <c r="D121" s="87">
        <f>D122+D123+D124</f>
        <v>128876.3</v>
      </c>
      <c r="E121" s="86">
        <f t="shared" si="7"/>
        <v>56.70046192756924</v>
      </c>
      <c r="F121" s="86">
        <f>$D:$D/$C:$C*100</f>
        <v>99.69336139803687</v>
      </c>
      <c r="G121" s="27">
        <f>G122+G123+G124</f>
        <v>49605.9</v>
      </c>
      <c r="H121" s="86">
        <f t="shared" si="10"/>
        <v>259.80034632977123</v>
      </c>
      <c r="I121" s="30">
        <f>D121-Июль!D121</f>
        <v>7514.069999999992</v>
      </c>
    </row>
    <row r="122" spans="1:9" ht="12.75">
      <c r="A122" s="41" t="s">
        <v>62</v>
      </c>
      <c r="B122" s="85">
        <v>102701.8</v>
      </c>
      <c r="C122" s="71">
        <v>54936.7</v>
      </c>
      <c r="D122" s="71">
        <v>54936.7</v>
      </c>
      <c r="E122" s="48">
        <f t="shared" si="7"/>
        <v>53.491467530267236</v>
      </c>
      <c r="F122" s="48">
        <f>$D:$D/$C:$C*100</f>
        <v>100</v>
      </c>
      <c r="G122" s="28">
        <v>42808.3</v>
      </c>
      <c r="H122" s="48">
        <f t="shared" si="10"/>
        <v>128.33188890939374</v>
      </c>
      <c r="I122" s="82">
        <f>D122-Июль!D122</f>
        <v>3901.909999999996</v>
      </c>
    </row>
    <row r="123" spans="1:9" ht="24.75" customHeight="1">
      <c r="A123" s="12" t="s">
        <v>63</v>
      </c>
      <c r="B123" s="85">
        <v>120270.8</v>
      </c>
      <c r="C123" s="71">
        <v>71444.5</v>
      </c>
      <c r="D123" s="71">
        <v>71444.5</v>
      </c>
      <c r="E123" s="48">
        <v>0</v>
      </c>
      <c r="F123" s="48">
        <v>0</v>
      </c>
      <c r="G123" s="28">
        <v>4387.1</v>
      </c>
      <c r="H123" s="48">
        <f t="shared" si="10"/>
        <v>1628.513140799161</v>
      </c>
      <c r="I123" s="82">
        <f>D123-Июль!D123</f>
        <v>3246.5</v>
      </c>
    </row>
    <row r="124" spans="1:9" ht="25.5">
      <c r="A124" s="12" t="s">
        <v>73</v>
      </c>
      <c r="B124" s="85">
        <v>4320.61</v>
      </c>
      <c r="C124" s="71">
        <v>2891.5</v>
      </c>
      <c r="D124" s="71">
        <v>2495.1</v>
      </c>
      <c r="E124" s="48">
        <f>$D:$D/$B:$B*100</f>
        <v>57.74879010139772</v>
      </c>
      <c r="F124" s="48">
        <f>$D:$D/$C:$C*100</f>
        <v>86.2908524987031</v>
      </c>
      <c r="G124" s="28">
        <v>2410.5</v>
      </c>
      <c r="H124" s="48">
        <f t="shared" si="10"/>
        <v>103.5096453018046</v>
      </c>
      <c r="I124" s="82">
        <f>D124-Июль!D124</f>
        <v>365.65999999999985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D125-Июль!D125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0</v>
      </c>
      <c r="H126" s="48">
        <v>0</v>
      </c>
      <c r="I126" s="82">
        <f>D126-Июль!D126</f>
        <v>0</v>
      </c>
    </row>
    <row r="127" spans="1:9" ht="15.75" customHeight="1">
      <c r="A127" s="14" t="s">
        <v>55</v>
      </c>
      <c r="B127" s="30">
        <f>B78+B87+B88+B89+B95+B103+B110+B113+B115+B121+B125+B100</f>
        <v>4342554.67</v>
      </c>
      <c r="C127" s="30">
        <f>C78+C87+C88+C89+C95+C103+C110+C113+C115+C121+C125+C100</f>
        <v>1861404.74384</v>
      </c>
      <c r="D127" s="30">
        <f>D78+D87+D88+D89+D95+D103+D110+D113+D115+D121+D125+D100</f>
        <v>1839447.84384</v>
      </c>
      <c r="E127" s="86">
        <f>$D:$D/$B:$B*100</f>
        <v>42.35865714132736</v>
      </c>
      <c r="F127" s="86">
        <f>$D:$D/$C:$C*100</f>
        <v>98.82041237551034</v>
      </c>
      <c r="G127" s="35">
        <f>G78+G87+G88+G89+G95+G103+G110+G113+G115+G121+G125+G100</f>
        <v>1518869.2</v>
      </c>
      <c r="H127" s="86">
        <f>$D:$D/$G:$G*100</f>
        <v>121.1064023050833</v>
      </c>
      <c r="I127" s="30">
        <f>D127-Июль!D127</f>
        <v>259624.76</v>
      </c>
    </row>
    <row r="128" spans="1:9" ht="26.25" customHeight="1">
      <c r="A128" s="15" t="s">
        <v>56</v>
      </c>
      <c r="B128" s="30">
        <f>B72-B127</f>
        <v>-113548.66999999993</v>
      </c>
      <c r="C128" s="30">
        <f>C72-C127</f>
        <v>217291.1761600005</v>
      </c>
      <c r="D128" s="30">
        <f>D72-D127</f>
        <v>280444.8561600002</v>
      </c>
      <c r="E128" s="30"/>
      <c r="F128" s="30"/>
      <c r="G128" s="30">
        <f>G72-G127</f>
        <v>14304.199999999953</v>
      </c>
      <c r="H128" s="30"/>
      <c r="I128" s="82"/>
    </row>
    <row r="129" spans="1:9" ht="24" customHeight="1">
      <c r="A129" s="1" t="s">
        <v>57</v>
      </c>
      <c r="B129" s="85" t="s">
        <v>165</v>
      </c>
      <c r="C129" s="85"/>
      <c r="D129" s="85" t="s">
        <v>181</v>
      </c>
      <c r="E129" s="85"/>
      <c r="F129" s="85"/>
      <c r="G129" s="28" t="s">
        <v>180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311266.6</v>
      </c>
      <c r="E130" s="85"/>
      <c r="F130" s="85"/>
      <c r="G130" s="27">
        <f>G132+G133</f>
        <v>36453.350000000006</v>
      </c>
      <c r="H130" s="85"/>
      <c r="I130" s="82">
        <f>D130-Июль!D130</f>
        <v>229569.8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5">
        <f>Март!B130</f>
        <v>24892.3</v>
      </c>
      <c r="C132" s="85"/>
      <c r="D132" s="85">
        <v>209566.8</v>
      </c>
      <c r="E132" s="85"/>
      <c r="F132" s="85"/>
      <c r="G132" s="28">
        <v>16826.83</v>
      </c>
      <c r="H132" s="85"/>
      <c r="I132" s="82">
        <f>D132-Июль!D132</f>
        <v>168052.4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311266.6-209566.8</f>
        <v>101699.79999999999</v>
      </c>
      <c r="E133" s="85"/>
      <c r="F133" s="85"/>
      <c r="G133" s="28">
        <v>19626.52</v>
      </c>
      <c r="H133" s="85"/>
      <c r="I133" s="82">
        <f>D133-Июль!D133</f>
        <v>61517.39999999999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40">
        <f>G135-G136</f>
        <v>0</v>
      </c>
      <c r="H134" s="90"/>
      <c r="I134" s="82">
        <f>D134-Июль!D134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28">
        <v>0</v>
      </c>
      <c r="H135" s="91"/>
      <c r="I135" s="82">
        <f>D135-Июль!D135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28">
        <v>0</v>
      </c>
      <c r="H136" s="91"/>
      <c r="I136" s="82">
        <f>D136-Июль!D136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3" sqref="L63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182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184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495190.9799999999</v>
      </c>
      <c r="D7" s="30">
        <f>D8+D16+D21+D26+D29+D36++D45+D46+D47+D51+D62</f>
        <v>497478.5</v>
      </c>
      <c r="E7" s="86">
        <f aca="true" t="shared" si="0" ref="E7:E22">$D:$D/$B:$B*100</f>
        <v>68.04377256996639</v>
      </c>
      <c r="F7" s="86">
        <v>27699.089999999997</v>
      </c>
      <c r="G7" s="35">
        <f>G8+G16+G21+G26+G29+G33+G36+G45+G46+G47+G51+G62</f>
        <v>409580.4300000001</v>
      </c>
      <c r="H7" s="86">
        <f aca="true" t="shared" si="1" ref="H7:H48">$D:$D/$G:$G*100</f>
        <v>121.46051509345793</v>
      </c>
      <c r="I7" s="30">
        <f>D7-август!D7</f>
        <v>48830.00000000006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268979.48</v>
      </c>
      <c r="D8" s="86">
        <f>D9+D10-0.1</f>
        <v>267481.2</v>
      </c>
      <c r="E8" s="86">
        <f t="shared" si="0"/>
        <v>70.1704330069239</v>
      </c>
      <c r="F8" s="86">
        <v>10645.39</v>
      </c>
      <c r="G8" s="26">
        <f>G9+G10</f>
        <v>204937.68</v>
      </c>
      <c r="H8" s="86">
        <f t="shared" si="1"/>
        <v>130.51831171310226</v>
      </c>
      <c r="I8" s="30">
        <f>D8-август!D8</f>
        <v>26648.600000000006</v>
      </c>
    </row>
    <row r="9" spans="1:9" ht="25.5">
      <c r="A9" s="53" t="s">
        <v>5</v>
      </c>
      <c r="B9" s="87">
        <v>8446.3</v>
      </c>
      <c r="C9" s="87">
        <v>5700</v>
      </c>
      <c r="D9" s="87">
        <v>5497.2</v>
      </c>
      <c r="E9" s="86">
        <f t="shared" si="0"/>
        <v>65.08411967370328</v>
      </c>
      <c r="F9" s="86">
        <v>200.86</v>
      </c>
      <c r="G9" s="27">
        <v>7783.689999999999</v>
      </c>
      <c r="H9" s="86">
        <f t="shared" si="1"/>
        <v>70.62460092835148</v>
      </c>
      <c r="I9" s="30">
        <f>D9-август!D9</f>
        <v>1409.6999999999998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263279.48</v>
      </c>
      <c r="D10" s="92">
        <f>SUM(D11:D15)</f>
        <v>261984.1</v>
      </c>
      <c r="E10" s="86">
        <f t="shared" si="0"/>
        <v>70.28571535884377</v>
      </c>
      <c r="F10" s="86">
        <v>10444.529999999999</v>
      </c>
      <c r="G10" s="46">
        <f>SUM(G11:G15)</f>
        <v>197153.99</v>
      </c>
      <c r="H10" s="86">
        <f t="shared" si="1"/>
        <v>132.88298147047394</v>
      </c>
      <c r="I10" s="30">
        <f>D10-август!D10</f>
        <v>25238.899999999994</v>
      </c>
    </row>
    <row r="11" spans="1:9" ht="51">
      <c r="A11" s="56" t="s">
        <v>74</v>
      </c>
      <c r="B11" s="85">
        <v>313856.6</v>
      </c>
      <c r="C11" s="85">
        <v>206544.2</v>
      </c>
      <c r="D11" s="85">
        <v>202914</v>
      </c>
      <c r="E11" s="86">
        <f t="shared" si="0"/>
        <v>64.65181869681888</v>
      </c>
      <c r="F11" s="86">
        <v>10058</v>
      </c>
      <c r="G11" s="28">
        <v>185582.14</v>
      </c>
      <c r="H11" s="48">
        <f t="shared" si="1"/>
        <v>109.3391853332438</v>
      </c>
      <c r="I11" s="30">
        <f>D11-август!D11</f>
        <v>24475</v>
      </c>
    </row>
    <row r="12" spans="1:9" ht="94.5" customHeight="1">
      <c r="A12" s="56" t="s">
        <v>75</v>
      </c>
      <c r="B12" s="85">
        <v>6481.5</v>
      </c>
      <c r="C12" s="85">
        <v>5370</v>
      </c>
      <c r="D12" s="85">
        <v>569.6</v>
      </c>
      <c r="E12" s="86">
        <f t="shared" si="0"/>
        <v>8.788089176888066</v>
      </c>
      <c r="F12" s="86">
        <v>81.56</v>
      </c>
      <c r="G12" s="28">
        <v>5417.91</v>
      </c>
      <c r="H12" s="48">
        <f t="shared" si="1"/>
        <v>10.513279105780644</v>
      </c>
      <c r="I12" s="30">
        <f>D12-август!D12</f>
        <v>-3.699999999999932</v>
      </c>
    </row>
    <row r="13" spans="1:9" ht="25.5">
      <c r="A13" s="56" t="s">
        <v>76</v>
      </c>
      <c r="B13" s="85">
        <v>3576.4</v>
      </c>
      <c r="C13" s="85">
        <v>3255</v>
      </c>
      <c r="D13" s="85">
        <v>4416.5</v>
      </c>
      <c r="E13" s="86">
        <f t="shared" si="0"/>
        <v>123.49010177832457</v>
      </c>
      <c r="F13" s="86">
        <v>117.15</v>
      </c>
      <c r="G13" s="28">
        <v>3245.6399999999994</v>
      </c>
      <c r="H13" s="48">
        <f t="shared" si="1"/>
        <v>136.0748573470872</v>
      </c>
      <c r="I13" s="30">
        <f>D13-август!D13</f>
        <v>239.30000000000018</v>
      </c>
    </row>
    <row r="14" spans="1:9" ht="63.75">
      <c r="A14" s="56" t="s">
        <v>78</v>
      </c>
      <c r="B14" s="85">
        <f>2580100/1000</f>
        <v>2580.1</v>
      </c>
      <c r="C14" s="85">
        <v>1863.3</v>
      </c>
      <c r="D14" s="85">
        <v>2900.9</v>
      </c>
      <c r="E14" s="86">
        <f t="shared" si="0"/>
        <v>112.43362660362001</v>
      </c>
      <c r="F14" s="86">
        <v>187.82</v>
      </c>
      <c r="G14" s="28">
        <v>1847.11</v>
      </c>
      <c r="H14" s="48">
        <f t="shared" si="1"/>
        <v>157.0507441354332</v>
      </c>
      <c r="I14" s="30">
        <f>D14-август!D14</f>
        <v>328.4000000000001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51183.1</v>
      </c>
      <c r="E15" s="86">
        <f t="shared" si="0"/>
        <v>110.67334097346856</v>
      </c>
      <c r="F15" s="86"/>
      <c r="G15" s="28">
        <v>1061.19</v>
      </c>
      <c r="H15" s="48">
        <f t="shared" si="1"/>
        <v>4823.179637953618</v>
      </c>
      <c r="I15" s="30">
        <f>D15-август!D15</f>
        <v>199.90000000000146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40558.7</v>
      </c>
      <c r="D16" s="87">
        <f>SUM(D17:D20)</f>
        <v>47818.1</v>
      </c>
      <c r="E16" s="86">
        <f t="shared" si="0"/>
        <v>86.0223429517162</v>
      </c>
      <c r="F16" s="86">
        <v>1853.18</v>
      </c>
      <c r="G16" s="35">
        <f>G17+G18+G19+G20</f>
        <v>17872.07</v>
      </c>
      <c r="H16" s="86">
        <f t="shared" si="1"/>
        <v>267.5577031647705</v>
      </c>
      <c r="I16" s="30">
        <f>D16-август!D16</f>
        <v>6261.799999999996</v>
      </c>
    </row>
    <row r="17" spans="1:9" ht="37.5" customHeight="1">
      <c r="A17" s="39" t="s">
        <v>83</v>
      </c>
      <c r="B17" s="82">
        <v>25133.1</v>
      </c>
      <c r="C17" s="82">
        <v>17996.8</v>
      </c>
      <c r="D17" s="82">
        <v>23380.7</v>
      </c>
      <c r="E17" s="86">
        <f t="shared" si="0"/>
        <v>93.02752147566358</v>
      </c>
      <c r="F17" s="86">
        <v>844.23</v>
      </c>
      <c r="G17" s="28">
        <v>8106.259999999999</v>
      </c>
      <c r="H17" s="48">
        <f t="shared" si="1"/>
        <v>288.4277089557947</v>
      </c>
      <c r="I17" s="30">
        <f>D17-август!D17</f>
        <v>2986.600000000002</v>
      </c>
    </row>
    <row r="18" spans="1:9" ht="56.25" customHeight="1">
      <c r="A18" s="39" t="s">
        <v>84</v>
      </c>
      <c r="B18" s="82">
        <v>139.1</v>
      </c>
      <c r="C18" s="82">
        <v>105.4</v>
      </c>
      <c r="D18" s="82">
        <v>132.3</v>
      </c>
      <c r="E18" s="86">
        <f t="shared" si="0"/>
        <v>95.11143062544933</v>
      </c>
      <c r="F18" s="86">
        <v>5.74</v>
      </c>
      <c r="G18" s="28">
        <v>57.94</v>
      </c>
      <c r="H18" s="48">
        <f t="shared" si="1"/>
        <v>228.3396617190197</v>
      </c>
      <c r="I18" s="30">
        <f>D18-август!D18</f>
        <v>14.400000000000006</v>
      </c>
    </row>
    <row r="19" spans="1:9" ht="55.5" customHeight="1">
      <c r="A19" s="39" t="s">
        <v>85</v>
      </c>
      <c r="B19" s="82">
        <v>33467.4</v>
      </c>
      <c r="C19" s="82">
        <v>24901.3</v>
      </c>
      <c r="D19" s="82">
        <v>26915.1</v>
      </c>
      <c r="E19" s="86">
        <f t="shared" si="0"/>
        <v>80.42184334606213</v>
      </c>
      <c r="F19" s="86">
        <v>1158.41</v>
      </c>
      <c r="G19" s="28">
        <v>11138.92</v>
      </c>
      <c r="H19" s="48">
        <f t="shared" si="1"/>
        <v>241.6311455688702</v>
      </c>
      <c r="I19" s="30">
        <f>D19-август!D19</f>
        <v>3496.5999999999985</v>
      </c>
    </row>
    <row r="20" spans="1:9" ht="15.75" customHeight="1">
      <c r="A20" s="39" t="s">
        <v>86</v>
      </c>
      <c r="B20" s="82">
        <v>-3151.6</v>
      </c>
      <c r="C20" s="82">
        <v>-2444.8</v>
      </c>
      <c r="D20" s="82">
        <v>-2610</v>
      </c>
      <c r="E20" s="86">
        <f t="shared" si="0"/>
        <v>82.81507805559082</v>
      </c>
      <c r="F20" s="86">
        <v>-155.2</v>
      </c>
      <c r="G20" s="28">
        <v>-1431.0500000000002</v>
      </c>
      <c r="H20" s="48">
        <f t="shared" si="1"/>
        <v>182.38356451556547</v>
      </c>
      <c r="I20" s="30">
        <f>D20-август!D20</f>
        <v>-235.80000000000018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103531.9</v>
      </c>
      <c r="D21" s="87">
        <f>SUM(D22:D25)</f>
        <v>98548.1</v>
      </c>
      <c r="E21" s="86">
        <f t="shared" si="0"/>
        <v>73.42472795818696</v>
      </c>
      <c r="F21" s="86">
        <v>7362.96</v>
      </c>
      <c r="G21" s="35">
        <f>G22+G24+G25+G23</f>
        <v>98516.14</v>
      </c>
      <c r="H21" s="86">
        <f t="shared" si="1"/>
        <v>100.03244138473148</v>
      </c>
      <c r="I21" s="30">
        <f>D21-август!D21</f>
        <v>6273.800000000003</v>
      </c>
    </row>
    <row r="22" spans="1:9" ht="28.5" customHeight="1">
      <c r="A22" s="56" t="s">
        <v>146</v>
      </c>
      <c r="B22" s="85">
        <v>110640.7</v>
      </c>
      <c r="C22" s="85">
        <v>83670</v>
      </c>
      <c r="D22" s="85">
        <v>79660.3</v>
      </c>
      <c r="E22" s="86">
        <f t="shared" si="0"/>
        <v>71.9990925581635</v>
      </c>
      <c r="F22" s="86"/>
      <c r="G22" s="28">
        <v>73437.14</v>
      </c>
      <c r="H22" s="48">
        <f t="shared" si="1"/>
        <v>108.47413175404161</v>
      </c>
      <c r="I22" s="30">
        <f>D22-август!D22</f>
        <v>3554.699999999997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185.2</v>
      </c>
      <c r="E23" s="86">
        <v>0</v>
      </c>
      <c r="F23" s="86">
        <v>7198.75</v>
      </c>
      <c r="G23" s="28">
        <v>7188.6</v>
      </c>
      <c r="H23" s="48">
        <f t="shared" si="1"/>
        <v>2.576301366051804</v>
      </c>
      <c r="I23" s="30">
        <f>D23-август!D23</f>
        <v>98.99999999999999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297</v>
      </c>
      <c r="E24" s="86">
        <f aca="true" t="shared" si="2" ref="E24:E47">$D:$D/$B:$B*100</f>
        <v>23.85542168674699</v>
      </c>
      <c r="F24" s="86">
        <v>113.58</v>
      </c>
      <c r="G24" s="28">
        <v>1301.2600000000002</v>
      </c>
      <c r="H24" s="48">
        <f t="shared" si="1"/>
        <v>22.824032091972395</v>
      </c>
      <c r="I24" s="30">
        <f>D24-август!D24</f>
        <v>0.5</v>
      </c>
    </row>
    <row r="25" spans="1:9" ht="27" customHeight="1">
      <c r="A25" s="56" t="s">
        <v>88</v>
      </c>
      <c r="B25" s="85">
        <v>22330.8</v>
      </c>
      <c r="C25" s="85">
        <v>18616.9</v>
      </c>
      <c r="D25" s="85">
        <v>18405.6</v>
      </c>
      <c r="E25" s="86">
        <f t="shared" si="2"/>
        <v>82.42248374442474</v>
      </c>
      <c r="F25" s="86">
        <v>50.63</v>
      </c>
      <c r="G25" s="28">
        <v>16589.14</v>
      </c>
      <c r="H25" s="48">
        <f t="shared" si="1"/>
        <v>110.94969359472522</v>
      </c>
      <c r="I25" s="30">
        <f>D25-август!D25</f>
        <v>2619.5999999999985</v>
      </c>
    </row>
    <row r="26" spans="1:9" ht="12.75">
      <c r="A26" s="59" t="s">
        <v>8</v>
      </c>
      <c r="B26" s="87">
        <f>SUM(B27:B28)</f>
        <v>42549</v>
      </c>
      <c r="C26" s="87">
        <f>SUM(C27:C28)</f>
        <v>13469</v>
      </c>
      <c r="D26" s="87">
        <f>SUM(D27:D28)</f>
        <v>14550.8</v>
      </c>
      <c r="E26" s="86">
        <f t="shared" si="2"/>
        <v>34.1977484782251</v>
      </c>
      <c r="F26" s="86">
        <v>2465.82</v>
      </c>
      <c r="G26" s="35">
        <f>SUM(G27:G28)</f>
        <v>12893.400000000001</v>
      </c>
      <c r="H26" s="86">
        <f t="shared" si="1"/>
        <v>112.85463880745186</v>
      </c>
      <c r="I26" s="30">
        <f>D26-август!D26</f>
        <v>2670.5</v>
      </c>
    </row>
    <row r="27" spans="1:9" ht="12.75">
      <c r="A27" s="56" t="s">
        <v>106</v>
      </c>
      <c r="B27" s="82">
        <v>25216.8</v>
      </c>
      <c r="C27" s="82">
        <v>5009</v>
      </c>
      <c r="D27" s="82">
        <v>5948.5</v>
      </c>
      <c r="E27" s="86">
        <f t="shared" si="2"/>
        <v>23.589432441864155</v>
      </c>
      <c r="F27" s="86">
        <v>536.1</v>
      </c>
      <c r="G27" s="28">
        <v>4400.05</v>
      </c>
      <c r="H27" s="48">
        <f t="shared" si="1"/>
        <v>135.1916455494824</v>
      </c>
      <c r="I27" s="30">
        <f>D27-август!D27</f>
        <v>1753.1000000000004</v>
      </c>
    </row>
    <row r="28" spans="1:9" ht="12.75">
      <c r="A28" s="56" t="s">
        <v>107</v>
      </c>
      <c r="B28" s="85">
        <f>17332.2</f>
        <v>17332.2</v>
      </c>
      <c r="C28" s="85">
        <v>8460</v>
      </c>
      <c r="D28" s="85">
        <v>8602.3</v>
      </c>
      <c r="E28" s="86">
        <f t="shared" si="2"/>
        <v>49.63189900878134</v>
      </c>
      <c r="F28" s="86">
        <v>1929.72</v>
      </c>
      <c r="G28" s="28">
        <v>8493.35</v>
      </c>
      <c r="H28" s="48">
        <f t="shared" si="1"/>
        <v>101.28276828342173</v>
      </c>
      <c r="I28" s="30">
        <f>D28-август!D28</f>
        <v>917.3999999999996</v>
      </c>
    </row>
    <row r="29" spans="1:9" ht="12.75">
      <c r="A29" s="52" t="s">
        <v>9</v>
      </c>
      <c r="B29" s="87">
        <f>SUM(B30:B32)</f>
        <v>16105.5</v>
      </c>
      <c r="C29" s="87">
        <f>SUM(C30:C32)</f>
        <v>12086.2</v>
      </c>
      <c r="D29" s="87">
        <f>SUM(D30:D32)</f>
        <v>12618.5</v>
      </c>
      <c r="E29" s="86">
        <f t="shared" si="2"/>
        <v>78.34901120735152</v>
      </c>
      <c r="F29" s="86">
        <v>793.07</v>
      </c>
      <c r="G29" s="35">
        <f>G30+G32+G31</f>
        <v>11459.029999999999</v>
      </c>
      <c r="H29" s="86">
        <f t="shared" si="1"/>
        <v>110.11839571063172</v>
      </c>
      <c r="I29" s="30">
        <f>D29-август!D29</f>
        <v>1430.7000000000007</v>
      </c>
    </row>
    <row r="30" spans="1:9" ht="25.5">
      <c r="A30" s="56" t="s">
        <v>10</v>
      </c>
      <c r="B30" s="85">
        <v>15988.3</v>
      </c>
      <c r="C30" s="85">
        <v>12000</v>
      </c>
      <c r="D30" s="85">
        <v>12512.3</v>
      </c>
      <c r="E30" s="86">
        <f t="shared" si="2"/>
        <v>78.25910196831433</v>
      </c>
      <c r="F30" s="86">
        <v>793.07</v>
      </c>
      <c r="G30" s="28">
        <v>11314.63</v>
      </c>
      <c r="H30" s="48">
        <f t="shared" si="1"/>
        <v>110.58514507323704</v>
      </c>
      <c r="I30" s="30">
        <f>D30-август!D30</f>
        <v>1422.5</v>
      </c>
    </row>
    <row r="31" spans="1:9" ht="25.5">
      <c r="A31" s="56" t="s">
        <v>91</v>
      </c>
      <c r="B31" s="81">
        <f>67200/1000</f>
        <v>67.2</v>
      </c>
      <c r="C31" s="81">
        <v>51.2</v>
      </c>
      <c r="D31" s="81">
        <v>51.2</v>
      </c>
      <c r="E31" s="86">
        <f t="shared" si="2"/>
        <v>76.19047619047619</v>
      </c>
      <c r="F31" s="86">
        <v>0</v>
      </c>
      <c r="G31" s="28">
        <v>90</v>
      </c>
      <c r="H31" s="48">
        <f t="shared" si="1"/>
        <v>56.888888888888886</v>
      </c>
      <c r="I31" s="30">
        <f>D31-август!D31</f>
        <v>3.200000000000003</v>
      </c>
    </row>
    <row r="32" spans="1:9" ht="25.5">
      <c r="A32" s="56" t="s">
        <v>90</v>
      </c>
      <c r="B32" s="81">
        <f>50000/1000</f>
        <v>50</v>
      </c>
      <c r="C32" s="81">
        <v>35</v>
      </c>
      <c r="D32" s="81">
        <v>55</v>
      </c>
      <c r="E32" s="86">
        <f t="shared" si="2"/>
        <v>110.00000000000001</v>
      </c>
      <c r="F32" s="86">
        <v>0</v>
      </c>
      <c r="G32" s="28">
        <v>54.400000000000006</v>
      </c>
      <c r="H32" s="48">
        <f t="shared" si="1"/>
        <v>101.10294117647058</v>
      </c>
      <c r="I32" s="30">
        <f>D32-август!D32</f>
        <v>5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 t="shared" si="2"/>
        <v>#DIV/0!</v>
      </c>
      <c r="F33" s="86">
        <v>0</v>
      </c>
      <c r="G33" s="35">
        <f>G34+G35</f>
        <v>16.62</v>
      </c>
      <c r="H33" s="48">
        <f t="shared" si="1"/>
        <v>0.12033694344163659</v>
      </c>
      <c r="I33" s="30">
        <f>D33-август!D33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 t="shared" si="2"/>
        <v>#DIV/0!</v>
      </c>
      <c r="F34" s="86">
        <v>0</v>
      </c>
      <c r="G34" s="28">
        <v>14.9</v>
      </c>
      <c r="H34" s="48">
        <f t="shared" si="1"/>
        <v>0.1342281879194631</v>
      </c>
      <c r="I34" s="30">
        <f>D34-август!D34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 t="shared" si="2"/>
        <v>#DIV/0!</v>
      </c>
      <c r="F35" s="86">
        <v>0</v>
      </c>
      <c r="G35" s="28">
        <v>1.72</v>
      </c>
      <c r="H35" s="48">
        <f t="shared" si="1"/>
        <v>0</v>
      </c>
      <c r="I35" s="30">
        <f>D35-август!D35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41761.09999999999</v>
      </c>
      <c r="D36" s="87">
        <f>SUM(D38:D44)</f>
        <v>38568.2</v>
      </c>
      <c r="E36" s="86">
        <f t="shared" si="2"/>
        <v>52.43778415888969</v>
      </c>
      <c r="F36" s="86">
        <v>3247.05</v>
      </c>
      <c r="G36" s="35">
        <f>G37+G39+G40+G41+G43+G44+G38+G42</f>
        <v>49893.15</v>
      </c>
      <c r="H36" s="86">
        <f t="shared" si="1"/>
        <v>77.30159350532087</v>
      </c>
      <c r="I36" s="30">
        <f>D36-август!D36</f>
        <v>4953.9000000000015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 t="shared" si="2"/>
        <v>#DIV/0!</v>
      </c>
      <c r="F37" s="86"/>
      <c r="G37" s="28"/>
      <c r="H37" s="48" t="e">
        <f t="shared" si="1"/>
        <v>#DIV/0!</v>
      </c>
      <c r="I37" s="30">
        <f>D37-август!D37</f>
        <v>0</v>
      </c>
    </row>
    <row r="38" spans="1:9" ht="76.5">
      <c r="A38" s="56" t="s">
        <v>117</v>
      </c>
      <c r="B38" s="85">
        <v>37670.9</v>
      </c>
      <c r="C38" s="85">
        <v>23000</v>
      </c>
      <c r="D38" s="85">
        <f>19990.4+1682.5</f>
        <v>21672.9</v>
      </c>
      <c r="E38" s="86">
        <f t="shared" si="2"/>
        <v>57.53220655731612</v>
      </c>
      <c r="F38" s="86">
        <v>2393.3</v>
      </c>
      <c r="G38" s="28">
        <v>31097.63</v>
      </c>
      <c r="H38" s="48">
        <f t="shared" si="1"/>
        <v>69.6930923674891</v>
      </c>
      <c r="I38" s="30">
        <f>D38-август!D38</f>
        <v>3241.100000000002</v>
      </c>
    </row>
    <row r="39" spans="1:9" ht="76.5">
      <c r="A39" s="56" t="s">
        <v>125</v>
      </c>
      <c r="B39" s="82">
        <v>7265</v>
      </c>
      <c r="C39" s="82">
        <v>2620</v>
      </c>
      <c r="D39" s="82">
        <v>2972.8</v>
      </c>
      <c r="E39" s="86">
        <f t="shared" si="2"/>
        <v>40.91947694425327</v>
      </c>
      <c r="F39" s="86">
        <v>75.44</v>
      </c>
      <c r="G39" s="28">
        <v>917.65</v>
      </c>
      <c r="H39" s="48">
        <f t="shared" si="1"/>
        <v>323.9579360322563</v>
      </c>
      <c r="I39" s="30">
        <f>D39-август!D39</f>
        <v>179</v>
      </c>
    </row>
    <row r="40" spans="1:9" ht="76.5">
      <c r="A40" s="56" t="s">
        <v>118</v>
      </c>
      <c r="B40" s="82">
        <v>428</v>
      </c>
      <c r="C40" s="82">
        <v>317.5</v>
      </c>
      <c r="D40" s="82">
        <v>364.4</v>
      </c>
      <c r="E40" s="86">
        <f t="shared" si="2"/>
        <v>85.14018691588785</v>
      </c>
      <c r="F40" s="86">
        <v>3.43</v>
      </c>
      <c r="G40" s="28">
        <v>324.2100000000001</v>
      </c>
      <c r="H40" s="48">
        <f t="shared" si="1"/>
        <v>112.39628635760768</v>
      </c>
      <c r="I40" s="30">
        <f>D40-август!D40</f>
        <v>45.099999999999966</v>
      </c>
    </row>
    <row r="41" spans="1:9" ht="38.25">
      <c r="A41" s="56" t="s">
        <v>119</v>
      </c>
      <c r="B41" s="82">
        <v>21306.5</v>
      </c>
      <c r="C41" s="82">
        <v>9929.7</v>
      </c>
      <c r="D41" s="82">
        <v>10617.4</v>
      </c>
      <c r="E41" s="86">
        <f t="shared" si="2"/>
        <v>49.83174148733954</v>
      </c>
      <c r="F41" s="86">
        <v>538.73</v>
      </c>
      <c r="G41" s="28">
        <v>10941.25</v>
      </c>
      <c r="H41" s="48">
        <f t="shared" si="1"/>
        <v>97.04010053695875</v>
      </c>
      <c r="I41" s="30">
        <f>D41-август!D41</f>
        <v>1111.8999999999996</v>
      </c>
    </row>
    <row r="42" spans="1:9" ht="51">
      <c r="A42" s="56" t="s">
        <v>147</v>
      </c>
      <c r="B42" s="82">
        <v>64.2</v>
      </c>
      <c r="C42" s="82">
        <v>48.2</v>
      </c>
      <c r="D42" s="82">
        <v>60.5</v>
      </c>
      <c r="E42" s="86">
        <f t="shared" si="2"/>
        <v>94.23676012461058</v>
      </c>
      <c r="F42" s="86"/>
      <c r="G42" s="28">
        <v>77.52000000000001</v>
      </c>
      <c r="H42" s="48">
        <f t="shared" si="1"/>
        <v>78.04437564499483</v>
      </c>
      <c r="I42" s="30">
        <f>D42-август!D42</f>
        <v>49.4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 t="shared" si="2"/>
        <v>17.458692791343765</v>
      </c>
      <c r="F43" s="86">
        <v>0</v>
      </c>
      <c r="G43" s="28">
        <v>2879.96</v>
      </c>
      <c r="H43" s="48">
        <f t="shared" si="1"/>
        <v>16.583563660606398</v>
      </c>
      <c r="I43" s="30">
        <f>D43-август!D43</f>
        <v>0</v>
      </c>
    </row>
    <row r="44" spans="1:9" ht="76.5">
      <c r="A44" s="60" t="s">
        <v>121</v>
      </c>
      <c r="B44" s="82">
        <v>4080.2</v>
      </c>
      <c r="C44" s="82">
        <v>3110.1</v>
      </c>
      <c r="D44" s="82">
        <v>2402.6</v>
      </c>
      <c r="E44" s="86">
        <f t="shared" si="2"/>
        <v>58.88436841331307</v>
      </c>
      <c r="F44" s="86">
        <v>236.15</v>
      </c>
      <c r="G44" s="28">
        <v>3654.9300000000003</v>
      </c>
      <c r="H44" s="48">
        <f t="shared" si="1"/>
        <v>65.73586908641205</v>
      </c>
      <c r="I44" s="30">
        <f>D44-август!D44</f>
        <v>327.4000000000001</v>
      </c>
    </row>
    <row r="45" spans="1:9" ht="27" customHeight="1">
      <c r="A45" s="53" t="s">
        <v>13</v>
      </c>
      <c r="B45" s="87">
        <v>766.9</v>
      </c>
      <c r="C45" s="87">
        <v>733.6</v>
      </c>
      <c r="D45" s="87">
        <v>561.3</v>
      </c>
      <c r="E45" s="86">
        <f t="shared" si="2"/>
        <v>73.19076802712217</v>
      </c>
      <c r="F45" s="86">
        <v>43.6</v>
      </c>
      <c r="G45" s="27">
        <v>434.1600000000001</v>
      </c>
      <c r="H45" s="86">
        <f t="shared" si="1"/>
        <v>129.28413488114978</v>
      </c>
      <c r="I45" s="30">
        <f>D45-август!D45</f>
        <v>4.699999999999932</v>
      </c>
    </row>
    <row r="46" spans="1:9" ht="25.5">
      <c r="A46" s="53" t="s">
        <v>96</v>
      </c>
      <c r="B46" s="87">
        <v>9478.5</v>
      </c>
      <c r="C46" s="87">
        <v>8909.3</v>
      </c>
      <c r="D46" s="87">
        <v>9928.6</v>
      </c>
      <c r="E46" s="86">
        <f t="shared" si="2"/>
        <v>104.74864166271034</v>
      </c>
      <c r="F46" s="86">
        <v>561.58</v>
      </c>
      <c r="G46" s="27">
        <v>1600.21</v>
      </c>
      <c r="H46" s="86">
        <f t="shared" si="1"/>
        <v>620.4560651414502</v>
      </c>
      <c r="I46" s="30">
        <f>D46-август!D46</f>
        <v>253.10000000000036</v>
      </c>
    </row>
    <row r="47" spans="1:9" ht="25.5">
      <c r="A47" s="59" t="s">
        <v>14</v>
      </c>
      <c r="B47" s="87">
        <f>SUM(B48:B50)</f>
        <v>12400</v>
      </c>
      <c r="C47" s="87">
        <v>2836.3</v>
      </c>
      <c r="D47" s="87">
        <v>2503</v>
      </c>
      <c r="E47" s="86">
        <f t="shared" si="2"/>
        <v>20.18548387096774</v>
      </c>
      <c r="F47" s="86">
        <v>585.5</v>
      </c>
      <c r="G47" s="35">
        <f>G48+G49+G50</f>
        <v>4411.46</v>
      </c>
      <c r="H47" s="86">
        <f t="shared" si="1"/>
        <v>56.73858541163243</v>
      </c>
      <c r="I47" s="30">
        <f>D47-август!D47</f>
        <v>120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 t="shared" si="1"/>
        <v>0</v>
      </c>
      <c r="I48" s="30">
        <f>D48-август!D48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1497.25</v>
      </c>
      <c r="H49" s="48">
        <v>0</v>
      </c>
      <c r="I49" s="30">
        <f>D49-август!D49</f>
        <v>0</v>
      </c>
    </row>
    <row r="50" spans="1:9" ht="14.25" customHeight="1">
      <c r="A50" s="60" t="s">
        <v>93</v>
      </c>
      <c r="B50" s="83">
        <v>3900</v>
      </c>
      <c r="C50" s="83">
        <v>2836.3</v>
      </c>
      <c r="D50" s="83">
        <v>2503</v>
      </c>
      <c r="E50" s="86">
        <f aca="true" t="shared" si="3" ref="E50:E72">$D:$D/$B:$B*100</f>
        <v>64.17948717948718</v>
      </c>
      <c r="F50" s="86">
        <v>548.36</v>
      </c>
      <c r="G50" s="28">
        <v>2861.52</v>
      </c>
      <c r="H50" s="48">
        <f aca="true" t="shared" si="4" ref="H50:H69">$D:$D/$G:$G*100</f>
        <v>87.47099443652324</v>
      </c>
      <c r="I50" s="30">
        <f>D50-август!D50</f>
        <v>120</v>
      </c>
    </row>
    <row r="51" spans="1:9" ht="12.75">
      <c r="A51" s="53" t="s">
        <v>15</v>
      </c>
      <c r="B51" s="85">
        <v>5222.7</v>
      </c>
      <c r="C51" s="85">
        <v>2287.9</v>
      </c>
      <c r="D51" s="85">
        <v>4874</v>
      </c>
      <c r="E51" s="86">
        <f t="shared" si="3"/>
        <v>93.32337679744194</v>
      </c>
      <c r="F51" s="86">
        <v>179.73</v>
      </c>
      <c r="G51" s="35">
        <v>7517.71</v>
      </c>
      <c r="H51" s="86">
        <f t="shared" si="4"/>
        <v>64.83357298964711</v>
      </c>
      <c r="I51" s="30">
        <f>D51-август!D51</f>
        <v>193.30000000000018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 t="shared" si="3"/>
        <v>0</v>
      </c>
      <c r="F52" s="86"/>
      <c r="G52" s="28"/>
      <c r="H52" s="48" t="e">
        <f t="shared" si="4"/>
        <v>#DIV/0!</v>
      </c>
      <c r="I52" s="30">
        <f>D52-август!D52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 t="shared" si="3"/>
        <v>0</v>
      </c>
      <c r="F53" s="86"/>
      <c r="G53" s="28"/>
      <c r="H53" s="48" t="e">
        <f t="shared" si="4"/>
        <v>#DIV/0!</v>
      </c>
      <c r="I53" s="30">
        <f>D53-август!D53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 t="shared" si="3"/>
        <v>0</v>
      </c>
      <c r="F54" s="86"/>
      <c r="G54" s="28"/>
      <c r="H54" s="48" t="e">
        <f t="shared" si="4"/>
        <v>#DIV/0!</v>
      </c>
      <c r="I54" s="30">
        <f>D54-август!D54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 t="shared" si="3"/>
        <v>0</v>
      </c>
      <c r="F55" s="86"/>
      <c r="G55" s="28"/>
      <c r="H55" s="48" t="e">
        <f t="shared" si="4"/>
        <v>#DIV/0!</v>
      </c>
      <c r="I55" s="30">
        <f>D55-август!D55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 t="shared" si="3"/>
        <v>0</v>
      </c>
      <c r="F56" s="86"/>
      <c r="G56" s="28"/>
      <c r="H56" s="48" t="e">
        <f t="shared" si="4"/>
        <v>#DIV/0!</v>
      </c>
      <c r="I56" s="30">
        <f>D56-август!D56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 t="shared" si="3"/>
        <v>0</v>
      </c>
      <c r="F57" s="86"/>
      <c r="G57" s="28"/>
      <c r="H57" s="48" t="e">
        <f t="shared" si="4"/>
        <v>#DIV/0!</v>
      </c>
      <c r="I57" s="30">
        <f>D57-август!D57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 t="shared" si="3"/>
        <v>0</v>
      </c>
      <c r="F58" s="86"/>
      <c r="G58" s="28"/>
      <c r="H58" s="48" t="e">
        <f t="shared" si="4"/>
        <v>#DIV/0!</v>
      </c>
      <c r="I58" s="30">
        <f>D58-август!D58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 t="shared" si="3"/>
        <v>0</v>
      </c>
      <c r="F59" s="86"/>
      <c r="G59" s="28"/>
      <c r="H59" s="48" t="e">
        <f t="shared" si="4"/>
        <v>#DIV/0!</v>
      </c>
      <c r="I59" s="30">
        <f>D59-август!D59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 t="shared" si="3"/>
        <v>0</v>
      </c>
      <c r="F60" s="86"/>
      <c r="G60" s="28"/>
      <c r="H60" s="48" t="e">
        <f t="shared" si="4"/>
        <v>#DIV/0!</v>
      </c>
      <c r="I60" s="30">
        <f>D60-август!D60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 t="shared" si="3"/>
        <v>0</v>
      </c>
      <c r="F61" s="86"/>
      <c r="G61" s="28"/>
      <c r="H61" s="48" t="e">
        <f t="shared" si="4"/>
        <v>#DIV/0!</v>
      </c>
      <c r="I61" s="30">
        <f>D61-август!D61</f>
        <v>0</v>
      </c>
    </row>
    <row r="62" spans="1:9" ht="12.75">
      <c r="A62" s="52" t="s">
        <v>16</v>
      </c>
      <c r="B62" s="81">
        <v>50</v>
      </c>
      <c r="C62" s="81">
        <v>37.5</v>
      </c>
      <c r="D62" s="81">
        <v>26.7</v>
      </c>
      <c r="E62" s="86">
        <f t="shared" si="3"/>
        <v>53.400000000000006</v>
      </c>
      <c r="F62" s="86">
        <v>-38.79</v>
      </c>
      <c r="G62" s="27">
        <v>28.8</v>
      </c>
      <c r="H62" s="86">
        <f t="shared" si="4"/>
        <v>92.70833333333333</v>
      </c>
      <c r="I62" s="30">
        <f>D62-август!D62</f>
        <v>19.6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495190.98</v>
      </c>
      <c r="D63" s="87">
        <f>D62+D51+D47+D46+D45+D36+D29+D26+D21+D16+D8</f>
        <v>497478.5</v>
      </c>
      <c r="E63" s="86">
        <f t="shared" si="3"/>
        <v>68.04377256996639</v>
      </c>
      <c r="F63" s="86">
        <v>27699.089999999997</v>
      </c>
      <c r="G63" s="35">
        <f>G8+G16+G21+G26+G29+G33+G36+G45+G46+G47+G62+G51</f>
        <v>409580.4300000001</v>
      </c>
      <c r="H63" s="86">
        <f t="shared" si="4"/>
        <v>121.46051509345793</v>
      </c>
      <c r="I63" s="30">
        <f>D63-август!D63</f>
        <v>48830</v>
      </c>
    </row>
    <row r="64" spans="1:9" ht="12.75">
      <c r="A64" s="59" t="s">
        <v>18</v>
      </c>
      <c r="B64" s="85">
        <f>B65+B70+B71</f>
        <v>3505825.2000000007</v>
      </c>
      <c r="C64" s="85">
        <f>C65+C70+C71</f>
        <v>1998275.1</v>
      </c>
      <c r="D64" s="85">
        <f>D65+D70+D71</f>
        <v>2040607.4000000001</v>
      </c>
      <c r="E64" s="86">
        <f t="shared" si="3"/>
        <v>58.20619350902035</v>
      </c>
      <c r="F64" s="86">
        <v>43822.57000000001</v>
      </c>
      <c r="G64" s="35">
        <f>G65+G71+G70</f>
        <v>1367685.7300000002</v>
      </c>
      <c r="H64" s="86">
        <f t="shared" si="4"/>
        <v>149.20148358936228</v>
      </c>
      <c r="I64" s="30">
        <f>D64-август!D64</f>
        <v>369363.19999999995</v>
      </c>
    </row>
    <row r="65" spans="1:9" ht="25.5">
      <c r="A65" s="59" t="s">
        <v>19</v>
      </c>
      <c r="B65" s="85">
        <f>SUM(B66:B69)</f>
        <v>3484242.8000000007</v>
      </c>
      <c r="C65" s="85">
        <f>SUM(C66:C69)</f>
        <v>2016648</v>
      </c>
      <c r="D65" s="85">
        <f>SUM(D66:D69)</f>
        <v>2058980.3</v>
      </c>
      <c r="E65" s="86">
        <f t="shared" si="3"/>
        <v>59.09405337653276</v>
      </c>
      <c r="F65" s="86">
        <v>46091.770000000004</v>
      </c>
      <c r="G65" s="35">
        <f>G66+G67+G69+G68</f>
        <v>1370531.0300000003</v>
      </c>
      <c r="H65" s="86">
        <f t="shared" si="4"/>
        <v>150.23230083305737</v>
      </c>
      <c r="I65" s="30">
        <f>D65-август!D65</f>
        <v>369363.19999999995</v>
      </c>
    </row>
    <row r="66" spans="1:9" ht="12.75">
      <c r="A66" s="56" t="s">
        <v>108</v>
      </c>
      <c r="B66" s="85">
        <v>480567.2</v>
      </c>
      <c r="C66" s="85">
        <v>363584</v>
      </c>
      <c r="D66" s="85">
        <v>406972.3</v>
      </c>
      <c r="E66" s="86">
        <f t="shared" si="3"/>
        <v>84.68582541629974</v>
      </c>
      <c r="F66" s="86">
        <v>15902.8</v>
      </c>
      <c r="G66" s="28">
        <v>360672.61</v>
      </c>
      <c r="H66" s="48">
        <f t="shared" si="4"/>
        <v>112.83704077223939</v>
      </c>
      <c r="I66" s="30">
        <f>D66-август!D66</f>
        <v>42625.899999999965</v>
      </c>
    </row>
    <row r="67" spans="1:9" ht="12.75" customHeight="1">
      <c r="A67" s="56" t="s">
        <v>109</v>
      </c>
      <c r="B67" s="85">
        <v>1729337.1</v>
      </c>
      <c r="C67" s="85">
        <v>790148</v>
      </c>
      <c r="D67" s="85">
        <v>789849.5</v>
      </c>
      <c r="E67" s="86">
        <f t="shared" si="3"/>
        <v>45.67354161314182</v>
      </c>
      <c r="F67" s="86">
        <v>0</v>
      </c>
      <c r="G67" s="28">
        <v>264519.02</v>
      </c>
      <c r="H67" s="48">
        <f t="shared" si="4"/>
        <v>298.5983767821308</v>
      </c>
      <c r="I67" s="30">
        <f>D67-август!D67</f>
        <v>207037.09999999998</v>
      </c>
    </row>
    <row r="68" spans="1:9" ht="18.75" customHeight="1">
      <c r="A68" s="56" t="s">
        <v>110</v>
      </c>
      <c r="B68" s="85">
        <v>1196604.3</v>
      </c>
      <c r="C68" s="85">
        <v>811597.7</v>
      </c>
      <c r="D68" s="85">
        <v>810840.2</v>
      </c>
      <c r="E68" s="86">
        <f t="shared" si="3"/>
        <v>67.7617655226544</v>
      </c>
      <c r="F68" s="86">
        <v>30188.97</v>
      </c>
      <c r="G68" s="28">
        <v>709942.5100000001</v>
      </c>
      <c r="H68" s="48">
        <f t="shared" si="4"/>
        <v>114.21209303271611</v>
      </c>
      <c r="I68" s="30">
        <f>D68-август!D68</f>
        <v>112772.3999999999</v>
      </c>
    </row>
    <row r="69" spans="1:9" ht="12.75" customHeight="1">
      <c r="A69" s="2" t="s">
        <v>122</v>
      </c>
      <c r="B69" s="82">
        <v>77734.2</v>
      </c>
      <c r="C69" s="82">
        <v>51318.3</v>
      </c>
      <c r="D69" s="82">
        <v>51318.3</v>
      </c>
      <c r="E69" s="86">
        <f t="shared" si="3"/>
        <v>66.0176601804611</v>
      </c>
      <c r="F69" s="86">
        <v>0</v>
      </c>
      <c r="G69" s="28">
        <v>35396.89</v>
      </c>
      <c r="H69" s="48">
        <f t="shared" si="4"/>
        <v>144.97968606846536</v>
      </c>
      <c r="I69" s="30">
        <f>D69-август!D69</f>
        <v>6927.800000000003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 t="shared" si="3"/>
        <v>0</v>
      </c>
      <c r="F70" s="86">
        <v>0</v>
      </c>
      <c r="G70" s="28">
        <v>0</v>
      </c>
      <c r="H70" s="48">
        <v>0</v>
      </c>
      <c r="I70" s="30">
        <f>D70-август!D70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 t="shared" si="3"/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D71-август!D71</f>
        <v>0</v>
      </c>
    </row>
    <row r="72" spans="1:9" ht="12.75">
      <c r="A72" s="52" t="s">
        <v>20</v>
      </c>
      <c r="B72" s="87">
        <f>B63+B64</f>
        <v>4236940.600000001</v>
      </c>
      <c r="C72" s="87">
        <f>C63+C64</f>
        <v>2493466.08</v>
      </c>
      <c r="D72" s="87">
        <f>D63+D64</f>
        <v>2538085.9000000004</v>
      </c>
      <c r="E72" s="86">
        <f t="shared" si="3"/>
        <v>59.90374044894564</v>
      </c>
      <c r="F72" s="86">
        <v>71521.66</v>
      </c>
      <c r="G72" s="35">
        <f>G64+G63</f>
        <v>1777266.1600000004</v>
      </c>
      <c r="H72" s="86">
        <f>$D:$D/$G:$G*100</f>
        <v>142.80842999902725</v>
      </c>
      <c r="I72" s="30">
        <f>D72-август!D72</f>
        <v>418193.2000000002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0">
        <f>B79+B80+B81+B82+B83+B84+B85+B86</f>
        <v>458150.3</v>
      </c>
      <c r="C78" s="30">
        <f>C79+C80+C81+C82+C83+C84+C85+C86</f>
        <v>179243.2</v>
      </c>
      <c r="D78" s="30">
        <f>D79+D80+D81+D82+D83+D84+D85+D86</f>
        <v>178561</v>
      </c>
      <c r="E78" s="86">
        <f>$D:$D/$B:$B*100</f>
        <v>38.97432785703731</v>
      </c>
      <c r="F78" s="86">
        <f>$D:$D/$C:$C*100</f>
        <v>99.61939978755122</v>
      </c>
      <c r="G78" s="35">
        <f>G79+G80+G81+G82+G83+G84+G85+G86</f>
        <v>104149.16</v>
      </c>
      <c r="H78" s="86">
        <f aca="true" t="shared" si="5" ref="H78:H83">$D:$D/$G:$G*100</f>
        <v>171.44737413148604</v>
      </c>
      <c r="I78" s="30">
        <f>I79+I80+I81+I82+I83+I84+I85+I86</f>
        <v>64977.2</v>
      </c>
    </row>
    <row r="79" spans="1:9" ht="14.25" customHeight="1">
      <c r="A79" s="8" t="s">
        <v>24</v>
      </c>
      <c r="B79" s="82">
        <v>2984.6</v>
      </c>
      <c r="C79" s="71">
        <v>2000.2</v>
      </c>
      <c r="D79" s="71">
        <v>1991.7</v>
      </c>
      <c r="E79" s="48">
        <f>$D:$D/$B:$B*100</f>
        <v>66.73256047711587</v>
      </c>
      <c r="F79" s="48">
        <v>0</v>
      </c>
      <c r="G79" s="36">
        <v>1844.77</v>
      </c>
      <c r="H79" s="48">
        <f t="shared" si="5"/>
        <v>107.96467852361</v>
      </c>
      <c r="I79" s="82">
        <f>D79-август!D79</f>
        <v>352.5</v>
      </c>
    </row>
    <row r="80" spans="1:9" ht="12.75">
      <c r="A80" s="8" t="s">
        <v>25</v>
      </c>
      <c r="B80" s="82">
        <v>6999</v>
      </c>
      <c r="C80" s="71">
        <v>5008.6</v>
      </c>
      <c r="D80" s="71">
        <v>4855.5</v>
      </c>
      <c r="E80" s="48">
        <f>$D:$D/$B:$B*100</f>
        <v>69.3741963137591</v>
      </c>
      <c r="F80" s="48">
        <f>$D:$D/$C:$C*100</f>
        <v>96.94325759693326</v>
      </c>
      <c r="G80" s="36">
        <v>4438.6</v>
      </c>
      <c r="H80" s="48">
        <f t="shared" si="5"/>
        <v>109.39260127067092</v>
      </c>
      <c r="I80" s="82">
        <f>D80-август!D80</f>
        <v>476.39999999999964</v>
      </c>
    </row>
    <row r="81" spans="1:9" ht="25.5">
      <c r="A81" s="8" t="s">
        <v>26</v>
      </c>
      <c r="B81" s="82">
        <v>68698.4</v>
      </c>
      <c r="C81" s="71">
        <v>44190.3</v>
      </c>
      <c r="D81" s="71">
        <v>43995.2</v>
      </c>
      <c r="E81" s="48">
        <f>$D:$D/$B:$B*100</f>
        <v>64.04108392626321</v>
      </c>
      <c r="F81" s="48">
        <f>$D:$D/$C:$C*100</f>
        <v>99.55850039488303</v>
      </c>
      <c r="G81" s="36">
        <v>42382.29</v>
      </c>
      <c r="H81" s="48">
        <f t="shared" si="5"/>
        <v>103.80562258433888</v>
      </c>
      <c r="I81" s="82">
        <f>D81-август!D81</f>
        <v>7667.699999999997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96">
        <v>28.4</v>
      </c>
      <c r="H82" s="48">
        <f t="shared" si="5"/>
        <v>598.5915492957747</v>
      </c>
      <c r="I82" s="82">
        <f>D82-август!D82</f>
        <v>0</v>
      </c>
    </row>
    <row r="83" spans="1:9" ht="25.5">
      <c r="A83" s="1" t="s">
        <v>27</v>
      </c>
      <c r="B83" s="85">
        <v>16486.5</v>
      </c>
      <c r="C83" s="71">
        <v>11757.6</v>
      </c>
      <c r="D83" s="71">
        <v>11741.8</v>
      </c>
      <c r="E83" s="48">
        <f>$D:$D/$B:$B*100</f>
        <v>71.22069572074122</v>
      </c>
      <c r="F83" s="48">
        <v>0</v>
      </c>
      <c r="G83" s="28">
        <v>10708.78</v>
      </c>
      <c r="H83" s="48">
        <f t="shared" si="5"/>
        <v>109.64647700298258</v>
      </c>
      <c r="I83" s="82">
        <f>D83-август!D83</f>
        <v>2138.0999999999985</v>
      </c>
    </row>
    <row r="84" spans="1:9" ht="12.75">
      <c r="A84" s="8" t="s">
        <v>28</v>
      </c>
      <c r="B84" s="82">
        <v>8500</v>
      </c>
      <c r="C84" s="71">
        <v>7709.7</v>
      </c>
      <c r="D84" s="71">
        <v>7709.7</v>
      </c>
      <c r="E84" s="48">
        <v>0</v>
      </c>
      <c r="F84" s="48">
        <v>0</v>
      </c>
      <c r="G84" s="36">
        <v>0</v>
      </c>
      <c r="H84" s="48">
        <v>0</v>
      </c>
      <c r="I84" s="82">
        <f>D84-август!D84</f>
        <v>-790.3000000000002</v>
      </c>
    </row>
    <row r="85" spans="1:9" ht="12.75">
      <c r="A85" s="8" t="s">
        <v>29</v>
      </c>
      <c r="B85" s="82">
        <v>2500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D85-август!D85</f>
        <v>0</v>
      </c>
    </row>
    <row r="86" spans="1:9" ht="12.75">
      <c r="A86" s="1" t="s">
        <v>30</v>
      </c>
      <c r="B86" s="82">
        <v>351654.1</v>
      </c>
      <c r="C86" s="71">
        <v>108406.8</v>
      </c>
      <c r="D86" s="71">
        <v>108097.1</v>
      </c>
      <c r="E86" s="48">
        <f>$D:$D/$B:$B*100</f>
        <v>30.73961031593262</v>
      </c>
      <c r="F86" s="48">
        <f>$D:$D/$C:$C*100</f>
        <v>99.7143168140744</v>
      </c>
      <c r="G86" s="36">
        <v>44746.32</v>
      </c>
      <c r="H86" s="48">
        <f>$D:$D/$G:$G*100</f>
        <v>241.57763141192396</v>
      </c>
      <c r="I86" s="82">
        <f>D86-август!D86</f>
        <v>55132.8</v>
      </c>
    </row>
    <row r="87" spans="1:9" ht="12.75">
      <c r="A87" s="7" t="s">
        <v>31</v>
      </c>
      <c r="B87" s="87">
        <v>455</v>
      </c>
      <c r="C87" s="94">
        <v>304.4</v>
      </c>
      <c r="D87" s="94">
        <v>304.4</v>
      </c>
      <c r="E87" s="86">
        <f>$D:$D/$B:$B*100</f>
        <v>66.9010989010989</v>
      </c>
      <c r="F87" s="86">
        <f>$D:$D/$C:$C*100</f>
        <v>100</v>
      </c>
      <c r="G87" s="35">
        <v>223.76</v>
      </c>
      <c r="H87" s="86">
        <f>$D:$D/$G:$G*100</f>
        <v>136.03861279942794</v>
      </c>
      <c r="I87" s="30">
        <f>D87-август!D87</f>
        <v>34.799999999999955</v>
      </c>
    </row>
    <row r="88" spans="1:9" ht="25.5">
      <c r="A88" s="9" t="s">
        <v>32</v>
      </c>
      <c r="B88" s="87">
        <v>12524.8</v>
      </c>
      <c r="C88" s="94">
        <v>4211.8</v>
      </c>
      <c r="D88" s="94">
        <v>4208.2</v>
      </c>
      <c r="E88" s="86">
        <f>$D:$D/$B:$B*100</f>
        <v>33.598939703628</v>
      </c>
      <c r="F88" s="86">
        <f>$D:$D/$C:$C*100</f>
        <v>99.91452585592857</v>
      </c>
      <c r="G88" s="27">
        <v>3060.81</v>
      </c>
      <c r="H88" s="86">
        <f>$D:$D/$G:$G*100</f>
        <v>137.48648233637502</v>
      </c>
      <c r="I88" s="30">
        <f>D88-август!D88</f>
        <v>481.5</v>
      </c>
    </row>
    <row r="89" spans="1:9" ht="12.75">
      <c r="A89" s="7" t="s">
        <v>33</v>
      </c>
      <c r="B89" s="30">
        <f>B90+B91+B92+B93+B94</f>
        <v>621819.31</v>
      </c>
      <c r="C89" s="30">
        <f>C90+C91+C92+C93+C94</f>
        <v>204850.1</v>
      </c>
      <c r="D89" s="30">
        <f>D90+D91+D92+D93+D94</f>
        <v>204650.3</v>
      </c>
      <c r="E89" s="86">
        <f>$D:$D/$B:$B*100</f>
        <v>32.91153824090795</v>
      </c>
      <c r="F89" s="86">
        <f>$D:$D/$C:$C*100</f>
        <v>99.90246526606528</v>
      </c>
      <c r="G89" s="35">
        <f>G90+G91+G92+G93+G94</f>
        <v>88030.93</v>
      </c>
      <c r="H89" s="86">
        <f>$D:$D/$G:$G*100</f>
        <v>232.47544925402926</v>
      </c>
      <c r="I89" s="30">
        <f>D89-август!D89</f>
        <v>24807.399999999994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D90-август!D90</f>
        <v>0</v>
      </c>
    </row>
    <row r="91" spans="1:9" ht="12.75" customHeight="1">
      <c r="A91" s="10" t="s">
        <v>67</v>
      </c>
      <c r="B91" s="82">
        <v>4.2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D91-август!D91</f>
        <v>0</v>
      </c>
    </row>
    <row r="92" spans="1:9" ht="12.75">
      <c r="A92" s="8" t="s">
        <v>34</v>
      </c>
      <c r="B92" s="82">
        <v>27875.61</v>
      </c>
      <c r="C92" s="71">
        <v>18555.8</v>
      </c>
      <c r="D92" s="71">
        <v>18555.8</v>
      </c>
      <c r="E92" s="48">
        <f>$D:$D/$B:$B*100</f>
        <v>66.56643567620583</v>
      </c>
      <c r="F92" s="48">
        <v>0</v>
      </c>
      <c r="G92" s="36">
        <v>17393.6</v>
      </c>
      <c r="H92" s="48">
        <f>$D:$D/$G:$G*100</f>
        <v>106.68176800662312</v>
      </c>
      <c r="I92" s="82">
        <f>D92-август!D92</f>
        <v>2367.2999999999993</v>
      </c>
    </row>
    <row r="93" spans="1:9" ht="12.75">
      <c r="A93" s="10" t="s">
        <v>77</v>
      </c>
      <c r="B93" s="85">
        <v>549517.7</v>
      </c>
      <c r="C93" s="71">
        <v>163158.1</v>
      </c>
      <c r="D93" s="71">
        <v>163158.1</v>
      </c>
      <c r="E93" s="48">
        <f>$D:$D/$B:$B*100</f>
        <v>29.691145526340645</v>
      </c>
      <c r="F93" s="48">
        <f>$D:$D/$C:$C*100</f>
        <v>100</v>
      </c>
      <c r="G93" s="28">
        <v>46486.12</v>
      </c>
      <c r="H93" s="48">
        <f>$D:$D/$G:$G*100</f>
        <v>350.9824007682293</v>
      </c>
      <c r="I93" s="82">
        <f>D93-август!D93</f>
        <v>20822.800000000017</v>
      </c>
    </row>
    <row r="94" spans="1:9" ht="12.75">
      <c r="A94" s="8" t="s">
        <v>35</v>
      </c>
      <c r="B94" s="82">
        <v>44421.8</v>
      </c>
      <c r="C94" s="71">
        <v>23136.2</v>
      </c>
      <c r="D94" s="71">
        <v>22936.4</v>
      </c>
      <c r="E94" s="48">
        <f>$D:$D/$B:$B*100</f>
        <v>51.63320711902715</v>
      </c>
      <c r="F94" s="48">
        <f>$D:$D/$C:$C*100</f>
        <v>99.13641825364581</v>
      </c>
      <c r="G94" s="36">
        <v>24151.21</v>
      </c>
      <c r="H94" s="48">
        <f>$D:$D/$G:$G*100</f>
        <v>94.96998287042348</v>
      </c>
      <c r="I94" s="82">
        <f>D94-август!D94</f>
        <v>1617.300000000003</v>
      </c>
    </row>
    <row r="95" spans="1:9" ht="12.75">
      <c r="A95" s="7" t="s">
        <v>36</v>
      </c>
      <c r="B95" s="30">
        <f>B97+B98+B99+B96</f>
        <v>739058.7</v>
      </c>
      <c r="C95" s="87">
        <f>C97+C98+C99+C96</f>
        <v>269182.5</v>
      </c>
      <c r="D95" s="30">
        <f>D97+D98+D99+D96</f>
        <v>269169.8</v>
      </c>
      <c r="E95" s="30">
        <f>E98+E99+E96</f>
        <v>77.87167397354577</v>
      </c>
      <c r="F95" s="86">
        <f>$D:$D/$C:$C*100</f>
        <v>99.99528201127488</v>
      </c>
      <c r="G95" s="35">
        <f>G97+G98+G99+G96</f>
        <v>198017.84999999998</v>
      </c>
      <c r="H95" s="30">
        <f>H97+H98+H99</f>
        <v>461.08841614367276</v>
      </c>
      <c r="I95" s="30">
        <f>D95-август!D95</f>
        <v>112369.29999999999</v>
      </c>
    </row>
    <row r="96" spans="1:9" ht="12.75">
      <c r="A96" s="8" t="s">
        <v>37</v>
      </c>
      <c r="B96" s="71">
        <v>39736.31</v>
      </c>
      <c r="C96" s="71">
        <v>12024.7</v>
      </c>
      <c r="D96" s="71">
        <v>12024.7</v>
      </c>
      <c r="E96" s="48">
        <v>0</v>
      </c>
      <c r="F96" s="48">
        <v>0</v>
      </c>
      <c r="G96" s="71">
        <v>62766.81</v>
      </c>
      <c r="H96" s="48">
        <f>$D:$D/$G:$G*100</f>
        <v>19.15773638966199</v>
      </c>
      <c r="I96" s="82">
        <f>D96-август!D96</f>
        <v>0</v>
      </c>
    </row>
    <row r="97" spans="1:9" ht="12.75">
      <c r="A97" s="8" t="s">
        <v>38</v>
      </c>
      <c r="B97" s="82">
        <v>37372.3</v>
      </c>
      <c r="C97" s="71">
        <v>817.8</v>
      </c>
      <c r="D97" s="71">
        <v>817.8</v>
      </c>
      <c r="E97" s="48">
        <f aca="true" t="shared" si="6" ref="E97:E102">$D:$D/$B:$B*100</f>
        <v>2.1882517265461314</v>
      </c>
      <c r="F97" s="48">
        <v>0</v>
      </c>
      <c r="G97" s="36">
        <v>12839.2</v>
      </c>
      <c r="H97" s="48">
        <f>$D:$D/$G:$G*100</f>
        <v>6.369555735559847</v>
      </c>
      <c r="I97" s="82">
        <f>D97-август!D97</f>
        <v>55.09999999999991</v>
      </c>
    </row>
    <row r="98" spans="1:9" ht="12.75">
      <c r="A98" s="8" t="s">
        <v>39</v>
      </c>
      <c r="B98" s="82">
        <v>472032.5</v>
      </c>
      <c r="C98" s="71">
        <v>181445.1</v>
      </c>
      <c r="D98" s="71">
        <v>181433.1</v>
      </c>
      <c r="E98" s="48">
        <f t="shared" si="6"/>
        <v>38.436569515870204</v>
      </c>
      <c r="F98" s="48">
        <f>$D:$D/$C:$C*100</f>
        <v>99.99338642928358</v>
      </c>
      <c r="G98" s="36">
        <v>52107.44</v>
      </c>
      <c r="H98" s="48">
        <f>$D:$D/$G:$G*100</f>
        <v>348.19039277308576</v>
      </c>
      <c r="I98" s="82">
        <f>D98-август!D98</f>
        <v>102161.5</v>
      </c>
    </row>
    <row r="99" spans="2:9" ht="12.75">
      <c r="B99" s="82">
        <v>189917.59</v>
      </c>
      <c r="C99" s="71">
        <v>74894.9</v>
      </c>
      <c r="D99" s="71">
        <v>74894.2</v>
      </c>
      <c r="E99" s="48">
        <f t="shared" si="6"/>
        <v>39.435104457675564</v>
      </c>
      <c r="F99" s="48">
        <f>$D:$D/$C:$C*100</f>
        <v>99.99906535692017</v>
      </c>
      <c r="G99" s="36">
        <v>70304.4</v>
      </c>
      <c r="H99" s="48">
        <f>$D:$D/$G:$G*100</f>
        <v>106.52846763502713</v>
      </c>
      <c r="I99" s="82">
        <f>D99-август!D99</f>
        <v>10152.699999999997</v>
      </c>
    </row>
    <row r="100" spans="1:9" ht="12.75">
      <c r="A100" s="11" t="s">
        <v>115</v>
      </c>
      <c r="B100" s="30">
        <f>B101+B102</f>
        <v>17801.59</v>
      </c>
      <c r="C100" s="30">
        <f>C101+C102</f>
        <v>1059</v>
      </c>
      <c r="D100" s="30">
        <f>D101+D102</f>
        <v>888.6</v>
      </c>
      <c r="E100" s="86">
        <f t="shared" si="6"/>
        <v>4.991688944639215</v>
      </c>
      <c r="F100" s="86"/>
      <c r="G100" s="64">
        <f>G102+G101</f>
        <v>532.02</v>
      </c>
      <c r="H100" s="30">
        <f>H101</f>
        <v>167.02379609789105</v>
      </c>
      <c r="I100" s="30">
        <f>D100-август!D100</f>
        <v>0</v>
      </c>
    </row>
    <row r="101" spans="1:9" ht="25.5">
      <c r="A101" s="41" t="s">
        <v>143</v>
      </c>
      <c r="B101" s="82">
        <v>1950.59</v>
      </c>
      <c r="C101" s="71">
        <v>1059</v>
      </c>
      <c r="D101" s="71">
        <v>888.6</v>
      </c>
      <c r="E101" s="48">
        <f t="shared" si="6"/>
        <v>45.555447326193615</v>
      </c>
      <c r="F101" s="48"/>
      <c r="G101" s="82">
        <v>532.02</v>
      </c>
      <c r="H101" s="48">
        <f>$D:$D/$G:$G*100</f>
        <v>167.02379609789105</v>
      </c>
      <c r="I101" s="82">
        <f>D101-август!D101</f>
        <v>0</v>
      </c>
    </row>
    <row r="102" spans="1:9" ht="25.5">
      <c r="A102" s="8" t="s">
        <v>169</v>
      </c>
      <c r="B102" s="82">
        <v>15851</v>
      </c>
      <c r="C102" s="71">
        <v>0</v>
      </c>
      <c r="D102" s="71">
        <v>0</v>
      </c>
      <c r="E102" s="48">
        <f t="shared" si="6"/>
        <v>0</v>
      </c>
      <c r="F102" s="48"/>
      <c r="G102" s="82">
        <v>0</v>
      </c>
      <c r="H102" s="48">
        <v>0</v>
      </c>
      <c r="I102" s="82">
        <f>D102-август!D102</f>
        <v>0</v>
      </c>
    </row>
    <row r="103" spans="1:9" ht="12.75">
      <c r="A103" s="11" t="s">
        <v>41</v>
      </c>
      <c r="B103" s="30">
        <f>B104+B105+B107+B108+B109+B106</f>
        <v>1762012.6</v>
      </c>
      <c r="C103" s="30">
        <f>C104+C105+C107+C108+C109+C106</f>
        <v>1219302</v>
      </c>
      <c r="D103" s="30">
        <f>D104+D105+D107+D108+D109+D106</f>
        <v>1216998.9</v>
      </c>
      <c r="E103" s="30">
        <f>E104+E105+E108+E109+E107</f>
        <v>306.26859837797844</v>
      </c>
      <c r="F103" s="30">
        <f>F104+F105+F108+F109+F107</f>
        <v>499.53189188147167</v>
      </c>
      <c r="G103" s="35">
        <f>G104+G105+G106+G108+G109+G107</f>
        <v>1089535.9200000002</v>
      </c>
      <c r="H103" s="30">
        <f>H104+H105+H108+H109+H107</f>
        <v>496.43810608824066</v>
      </c>
      <c r="I103" s="30">
        <f>D103-август!D103</f>
        <v>151594.7999999998</v>
      </c>
    </row>
    <row r="104" spans="1:9" ht="12.75">
      <c r="A104" s="8" t="s">
        <v>42</v>
      </c>
      <c r="B104" s="82">
        <v>656606.1</v>
      </c>
      <c r="C104" s="71">
        <v>461039.9</v>
      </c>
      <c r="D104" s="71">
        <v>461039.9</v>
      </c>
      <c r="E104" s="48">
        <f aca="true" t="shared" si="7" ref="E104:E122">$D:$D/$B:$B*100</f>
        <v>70.21559805795286</v>
      </c>
      <c r="F104" s="48">
        <f aca="true" t="shared" si="8" ref="F104:F112">$D:$D/$C:$C*100</f>
        <v>100</v>
      </c>
      <c r="G104" s="36">
        <v>422288.76</v>
      </c>
      <c r="H104" s="48">
        <f aca="true" t="shared" si="9" ref="H104:H112">$D:$D/$G:$G*100</f>
        <v>109.17645546616018</v>
      </c>
      <c r="I104" s="82">
        <f>D104-август!D104</f>
        <v>59041.40000000002</v>
      </c>
    </row>
    <row r="105" spans="1:9" ht="12.75">
      <c r="A105" s="8" t="s">
        <v>43</v>
      </c>
      <c r="B105" s="82">
        <v>713165.9</v>
      </c>
      <c r="C105" s="71">
        <v>495842.3</v>
      </c>
      <c r="D105" s="71">
        <v>493661</v>
      </c>
      <c r="E105" s="48">
        <f t="shared" si="7"/>
        <v>69.22106062558515</v>
      </c>
      <c r="F105" s="48">
        <f t="shared" si="8"/>
        <v>99.56008190507345</v>
      </c>
      <c r="G105" s="36">
        <v>429834.1</v>
      </c>
      <c r="H105" s="48">
        <f t="shared" si="9"/>
        <v>114.84919414257735</v>
      </c>
      <c r="I105" s="82">
        <f>D105-август!D105</f>
        <v>65015.5</v>
      </c>
    </row>
    <row r="106" spans="1:9" ht="12.75">
      <c r="A106" s="22" t="s">
        <v>105</v>
      </c>
      <c r="B106" s="82">
        <v>158920.3</v>
      </c>
      <c r="C106" s="71">
        <v>101924.8</v>
      </c>
      <c r="D106" s="71">
        <v>101924.8</v>
      </c>
      <c r="E106" s="48">
        <f t="shared" si="7"/>
        <v>64.13579637088529</v>
      </c>
      <c r="F106" s="48">
        <f t="shared" si="8"/>
        <v>100</v>
      </c>
      <c r="G106" s="36">
        <v>89409.1</v>
      </c>
      <c r="H106" s="48">
        <f t="shared" si="9"/>
        <v>113.9982395527972</v>
      </c>
      <c r="I106" s="82">
        <f>D106-август!D106</f>
        <v>10539.5</v>
      </c>
    </row>
    <row r="107" spans="1:9" ht="25.5">
      <c r="A107" s="8" t="s">
        <v>123</v>
      </c>
      <c r="B107" s="82">
        <v>1652.2</v>
      </c>
      <c r="C107" s="71">
        <v>422.3</v>
      </c>
      <c r="D107" s="71">
        <v>422.6</v>
      </c>
      <c r="E107" s="48">
        <f t="shared" si="7"/>
        <v>25.578017189202278</v>
      </c>
      <c r="F107" s="48">
        <f t="shared" si="8"/>
        <v>100.0710395453469</v>
      </c>
      <c r="G107" s="36">
        <v>720.84</v>
      </c>
      <c r="H107" s="48">
        <f t="shared" si="9"/>
        <v>58.6260473891571</v>
      </c>
      <c r="I107" s="82">
        <f>D107-август!D107</f>
        <v>21.700000000000045</v>
      </c>
    </row>
    <row r="108" spans="1:9" ht="12.75">
      <c r="A108" s="8" t="s">
        <v>44</v>
      </c>
      <c r="B108" s="82">
        <v>50420.5</v>
      </c>
      <c r="C108" s="71">
        <v>37024.7</v>
      </c>
      <c r="D108" s="71">
        <v>37024.7</v>
      </c>
      <c r="E108" s="48">
        <f t="shared" si="7"/>
        <v>73.43183824039824</v>
      </c>
      <c r="F108" s="48">
        <f t="shared" si="8"/>
        <v>100</v>
      </c>
      <c r="G108" s="36">
        <v>35746.8</v>
      </c>
      <c r="H108" s="48">
        <f t="shared" si="9"/>
        <v>103.57486544250114</v>
      </c>
      <c r="I108" s="82">
        <f>D108-август!D108</f>
        <v>2133.399999999994</v>
      </c>
    </row>
    <row r="109" spans="1:9" ht="12.75">
      <c r="A109" s="8" t="s">
        <v>45</v>
      </c>
      <c r="B109" s="82">
        <v>181247.6</v>
      </c>
      <c r="C109" s="71">
        <v>123048</v>
      </c>
      <c r="D109" s="71">
        <v>122925.9</v>
      </c>
      <c r="E109" s="48">
        <f t="shared" si="7"/>
        <v>67.82208426483992</v>
      </c>
      <c r="F109" s="48">
        <f t="shared" si="8"/>
        <v>99.90077043105128</v>
      </c>
      <c r="G109" s="28">
        <v>111536.32</v>
      </c>
      <c r="H109" s="48">
        <f t="shared" si="9"/>
        <v>110.21154364784493</v>
      </c>
      <c r="I109" s="82">
        <f>D109-август!D109</f>
        <v>14843.299999999988</v>
      </c>
    </row>
    <row r="110" spans="1:9" ht="25.5">
      <c r="A110" s="11" t="s">
        <v>46</v>
      </c>
      <c r="B110" s="30">
        <f>B111+B112</f>
        <v>326070.1</v>
      </c>
      <c r="C110" s="30">
        <f>C111+C112</f>
        <v>149770.6</v>
      </c>
      <c r="D110" s="30">
        <f>D111+D112</f>
        <v>149770.6</v>
      </c>
      <c r="E110" s="86">
        <f t="shared" si="7"/>
        <v>45.932025046148055</v>
      </c>
      <c r="F110" s="86">
        <f t="shared" si="8"/>
        <v>100</v>
      </c>
      <c r="G110" s="35">
        <f>G111+G112</f>
        <v>106752.98</v>
      </c>
      <c r="H110" s="86">
        <f t="shared" si="9"/>
        <v>140.2964113976022</v>
      </c>
      <c r="I110" s="30">
        <f>D110-август!D110</f>
        <v>22988.800000000003</v>
      </c>
    </row>
    <row r="111" spans="1:9" ht="12.75">
      <c r="A111" s="8" t="s">
        <v>47</v>
      </c>
      <c r="B111" s="82">
        <v>245920.6</v>
      </c>
      <c r="C111" s="71">
        <v>127028.9</v>
      </c>
      <c r="D111" s="71">
        <v>127028.9</v>
      </c>
      <c r="E111" s="48">
        <f t="shared" si="7"/>
        <v>51.654436431921525</v>
      </c>
      <c r="F111" s="48">
        <f t="shared" si="8"/>
        <v>100</v>
      </c>
      <c r="G111" s="36">
        <v>92177.78</v>
      </c>
      <c r="H111" s="48">
        <f t="shared" si="9"/>
        <v>137.80859118108506</v>
      </c>
      <c r="I111" s="82">
        <f>D111-август!D111</f>
        <v>15947.799999999988</v>
      </c>
    </row>
    <row r="112" spans="1:9" ht="25.5">
      <c r="A112" s="8" t="s">
        <v>48</v>
      </c>
      <c r="B112" s="82">
        <v>80149.5</v>
      </c>
      <c r="C112" s="71">
        <v>22741.7</v>
      </c>
      <c r="D112" s="71">
        <v>22741.7</v>
      </c>
      <c r="E112" s="48">
        <f t="shared" si="7"/>
        <v>28.3741008989451</v>
      </c>
      <c r="F112" s="48">
        <f t="shared" si="8"/>
        <v>100</v>
      </c>
      <c r="G112" s="36">
        <v>14575.2</v>
      </c>
      <c r="H112" s="48">
        <f t="shared" si="9"/>
        <v>156.03010593336626</v>
      </c>
      <c r="I112" s="82">
        <f>D112-август!D112</f>
        <v>7041</v>
      </c>
    </row>
    <row r="113" spans="1:9" ht="12.75">
      <c r="A113" s="11" t="s">
        <v>97</v>
      </c>
      <c r="B113" s="30">
        <f>B114</f>
        <v>195.76</v>
      </c>
      <c r="C113" s="30">
        <f>C114</f>
        <v>195.8</v>
      </c>
      <c r="D113" s="30">
        <f>D114</f>
        <v>195.8</v>
      </c>
      <c r="E113" s="86">
        <f t="shared" si="7"/>
        <v>100.02043318348998</v>
      </c>
      <c r="F113" s="86">
        <v>0</v>
      </c>
      <c r="G113" s="35">
        <f>G114</f>
        <v>42.45</v>
      </c>
      <c r="H113" s="48">
        <v>0</v>
      </c>
      <c r="I113" s="82">
        <f>D113-август!D113</f>
        <v>37.670000000000016</v>
      </c>
    </row>
    <row r="114" spans="1:9" ht="12.75">
      <c r="A114" s="8" t="s">
        <v>98</v>
      </c>
      <c r="B114" s="82">
        <v>195.76</v>
      </c>
      <c r="C114" s="82">
        <v>195.8</v>
      </c>
      <c r="D114" s="82">
        <v>195.8</v>
      </c>
      <c r="E114" s="48">
        <f t="shared" si="7"/>
        <v>100.02043318348998</v>
      </c>
      <c r="F114" s="48">
        <v>0</v>
      </c>
      <c r="G114" s="36">
        <v>42.45</v>
      </c>
      <c r="H114" s="48">
        <v>0</v>
      </c>
      <c r="I114" s="82">
        <f>D114-август!D114</f>
        <v>37.670000000000016</v>
      </c>
    </row>
    <row r="115" spans="1:9" ht="12.75">
      <c r="A115" s="11" t="s">
        <v>49</v>
      </c>
      <c r="B115" s="30">
        <f>B116+B117+B118+B119+B120</f>
        <v>185008</v>
      </c>
      <c r="C115" s="30">
        <f>C116+C117+C118+C119+C120</f>
        <v>88410.1</v>
      </c>
      <c r="D115" s="30">
        <f>D116+D117+D118+D119+D120</f>
        <v>88379.3</v>
      </c>
      <c r="E115" s="86">
        <f t="shared" si="7"/>
        <v>47.770528841996025</v>
      </c>
      <c r="F115" s="86">
        <f>$D:$D/$C:$C*100</f>
        <v>99.9651623513603</v>
      </c>
      <c r="G115" s="35">
        <f>G116+G117+G118+G119+G120</f>
        <v>72453.8</v>
      </c>
      <c r="H115" s="86">
        <f aca="true" t="shared" si="10" ref="H115:H124">$D:$D/$G:$G*100</f>
        <v>121.98021359818256</v>
      </c>
      <c r="I115" s="30">
        <f>D115-август!D115</f>
        <v>25265.9</v>
      </c>
    </row>
    <row r="116" spans="1:9" ht="12.75">
      <c r="A116" s="8" t="s">
        <v>50</v>
      </c>
      <c r="B116" s="82">
        <f>2909.75</f>
        <v>2909.75</v>
      </c>
      <c r="C116" s="71">
        <v>1679.8</v>
      </c>
      <c r="D116" s="71">
        <v>1679.8</v>
      </c>
      <c r="E116" s="48">
        <f t="shared" si="7"/>
        <v>57.730045536558116</v>
      </c>
      <c r="F116" s="48">
        <v>0</v>
      </c>
      <c r="G116" s="36">
        <v>1882.44</v>
      </c>
      <c r="H116" s="48">
        <f t="shared" si="10"/>
        <v>89.23524786978602</v>
      </c>
      <c r="I116" s="82">
        <f>D116-август!D116</f>
        <v>183.5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 t="shared" si="7"/>
        <v>#DIV/0!</v>
      </c>
      <c r="F117" s="48" t="e">
        <f>$D:$D/$C:$C*100</f>
        <v>#DIV/0!</v>
      </c>
      <c r="G117" s="36">
        <v>0</v>
      </c>
      <c r="H117" s="48" t="e">
        <f t="shared" si="10"/>
        <v>#DIV/0!</v>
      </c>
      <c r="I117" s="82">
        <f>D117-август!D117</f>
        <v>0</v>
      </c>
    </row>
    <row r="118" spans="1:9" ht="12.75">
      <c r="A118" s="8" t="s">
        <v>52</v>
      </c>
      <c r="B118" s="85">
        <v>90352.05</v>
      </c>
      <c r="C118" s="71">
        <v>46110.5</v>
      </c>
      <c r="D118" s="71">
        <v>46110.5</v>
      </c>
      <c r="E118" s="48">
        <f t="shared" si="7"/>
        <v>51.034259875675204</v>
      </c>
      <c r="F118" s="48">
        <v>0</v>
      </c>
      <c r="G118" s="36">
        <v>41721.74</v>
      </c>
      <c r="H118" s="48">
        <f t="shared" si="10"/>
        <v>110.51912024762152</v>
      </c>
      <c r="I118" s="82">
        <f>D118-август!D118</f>
        <v>5911.0999999999985</v>
      </c>
    </row>
    <row r="119" spans="1:9" ht="12.75">
      <c r="A119" s="8" t="s">
        <v>53</v>
      </c>
      <c r="B119" s="82">
        <v>89318.9</v>
      </c>
      <c r="C119" s="71">
        <v>39051.5</v>
      </c>
      <c r="D119" s="71">
        <v>39020.7</v>
      </c>
      <c r="E119" s="48">
        <f t="shared" si="7"/>
        <v>43.68694643574876</v>
      </c>
      <c r="F119" s="48">
        <f>$D:$D/$C:$C*100</f>
        <v>99.9211297901489</v>
      </c>
      <c r="G119" s="28">
        <v>27550.48</v>
      </c>
      <c r="H119" s="48">
        <f t="shared" si="10"/>
        <v>141.63346700311573</v>
      </c>
      <c r="I119" s="82">
        <f>D119-август!D119</f>
        <v>18914.399999999998</v>
      </c>
    </row>
    <row r="120" spans="1:9" ht="12.75">
      <c r="A120" s="8" t="s">
        <v>54</v>
      </c>
      <c r="B120" s="82">
        <v>2427.3</v>
      </c>
      <c r="C120" s="71">
        <v>1568.3</v>
      </c>
      <c r="D120" s="71">
        <v>1568.3</v>
      </c>
      <c r="E120" s="48">
        <f t="shared" si="7"/>
        <v>64.61088452189675</v>
      </c>
      <c r="F120" s="48"/>
      <c r="G120" s="36">
        <v>1299.14</v>
      </c>
      <c r="H120" s="48">
        <f t="shared" si="10"/>
        <v>120.7183213510476</v>
      </c>
      <c r="I120" s="82">
        <f>D120-август!D120</f>
        <v>256.89999999999986</v>
      </c>
    </row>
    <row r="121" spans="1:9" ht="12.75">
      <c r="A121" s="11" t="s">
        <v>61</v>
      </c>
      <c r="B121" s="87">
        <f>B122+B123+B124</f>
        <v>227293.21</v>
      </c>
      <c r="C121" s="87">
        <f>C122+C123+C124</f>
        <v>159798.69999999998</v>
      </c>
      <c r="D121" s="87">
        <f>D122+D123+D124</f>
        <v>159791.9</v>
      </c>
      <c r="E121" s="86">
        <f t="shared" si="7"/>
        <v>70.30210009353117</v>
      </c>
      <c r="F121" s="86">
        <f>$D:$D/$C:$C*100</f>
        <v>99.99574464623305</v>
      </c>
      <c r="G121" s="27">
        <f>G122+G123+G124</f>
        <v>56507.350000000006</v>
      </c>
      <c r="H121" s="86">
        <f t="shared" si="10"/>
        <v>282.7807356034215</v>
      </c>
      <c r="I121" s="30">
        <f>D121-август!D121</f>
        <v>30915.59999999999</v>
      </c>
    </row>
    <row r="122" spans="1:9" ht="12.75">
      <c r="A122" s="41" t="s">
        <v>62</v>
      </c>
      <c r="B122" s="85">
        <v>102701.8</v>
      </c>
      <c r="C122" s="71">
        <v>68063.2</v>
      </c>
      <c r="D122" s="71">
        <v>68063.2</v>
      </c>
      <c r="E122" s="48">
        <f t="shared" si="7"/>
        <v>66.27264565956975</v>
      </c>
      <c r="F122" s="48">
        <f>$D:$D/$C:$C*100</f>
        <v>100</v>
      </c>
      <c r="G122" s="28">
        <v>48520.4</v>
      </c>
      <c r="H122" s="48">
        <f t="shared" si="10"/>
        <v>140.27749152933612</v>
      </c>
      <c r="I122" s="82">
        <f>D122-август!D122</f>
        <v>13126.5</v>
      </c>
    </row>
    <row r="123" spans="1:9" ht="24.75" customHeight="1">
      <c r="A123" s="12" t="s">
        <v>63</v>
      </c>
      <c r="B123" s="85">
        <v>120270.8</v>
      </c>
      <c r="C123" s="71">
        <v>88648.1</v>
      </c>
      <c r="D123" s="71">
        <v>88648.1</v>
      </c>
      <c r="E123" s="48">
        <v>0</v>
      </c>
      <c r="F123" s="48">
        <v>0</v>
      </c>
      <c r="G123" s="28">
        <v>5238.8</v>
      </c>
      <c r="H123" s="48">
        <f t="shared" si="10"/>
        <v>1692.1451477437581</v>
      </c>
      <c r="I123" s="82">
        <f>D123-август!D123</f>
        <v>17203.600000000006</v>
      </c>
    </row>
    <row r="124" spans="1:9" ht="25.5">
      <c r="A124" s="12" t="s">
        <v>73</v>
      </c>
      <c r="B124" s="85">
        <v>4320.61</v>
      </c>
      <c r="C124" s="71">
        <v>3087.4</v>
      </c>
      <c r="D124" s="71">
        <v>3080.6</v>
      </c>
      <c r="E124" s="48">
        <f>$D:$D/$B:$B*100</f>
        <v>71.30011734454163</v>
      </c>
      <c r="F124" s="48">
        <f>$D:$D/$C:$C*100</f>
        <v>99.77974995141543</v>
      </c>
      <c r="G124" s="28">
        <v>2748.15</v>
      </c>
      <c r="H124" s="48">
        <f t="shared" si="10"/>
        <v>112.09722904499391</v>
      </c>
      <c r="I124" s="82">
        <f>D124-август!D124</f>
        <v>585.5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14.9</v>
      </c>
      <c r="H125" s="48">
        <v>0</v>
      </c>
      <c r="I125" s="82">
        <f>D125-август!D125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14.9</v>
      </c>
      <c r="H126" s="48">
        <v>0</v>
      </c>
      <c r="I126" s="82">
        <f>D126-август!D126</f>
        <v>0</v>
      </c>
    </row>
    <row r="127" spans="1:9" ht="15.75" customHeight="1">
      <c r="A127" s="14" t="s">
        <v>55</v>
      </c>
      <c r="B127" s="30">
        <f>B78+B87+B88+B89+B95+B103+B110+B113+B115+B121+B125+B100</f>
        <v>4350489.37</v>
      </c>
      <c r="C127" s="30">
        <f>C78+C87+C88+C89+C95+C103+C110+C113+C115+C121+C125+C100</f>
        <v>2276330.2138400003</v>
      </c>
      <c r="D127" s="30">
        <f>D78+D87+D88+D89+D95+D103+D110+D113+D115+D121+D125+D100</f>
        <v>2272920.81384</v>
      </c>
      <c r="E127" s="86">
        <f>$D:$D/$B:$B*100</f>
        <v>52.245175669513245</v>
      </c>
      <c r="F127" s="86">
        <f>$D:$D/$C:$C*100</f>
        <v>99.85022383926237</v>
      </c>
      <c r="G127" s="35">
        <f>G78+G87+G88+G89+G95+G103+G110+G113+G115+G121+G125+G100</f>
        <v>1719321.9300000002</v>
      </c>
      <c r="H127" s="86">
        <f>$D:$D/$G:$G*100</f>
        <v>132.19867519749485</v>
      </c>
      <c r="I127" s="30">
        <f>D127-август!D127</f>
        <v>433472.97</v>
      </c>
    </row>
    <row r="128" spans="1:9" ht="26.25" customHeight="1">
      <c r="A128" s="15" t="s">
        <v>56</v>
      </c>
      <c r="B128" s="30">
        <f>B72-B127</f>
        <v>-113548.76999999955</v>
      </c>
      <c r="C128" s="30">
        <f>C72-C127</f>
        <v>217135.86615999974</v>
      </c>
      <c r="D128" s="30">
        <f>D72-D127</f>
        <v>265165.0861600004</v>
      </c>
      <c r="E128" s="30"/>
      <c r="F128" s="30"/>
      <c r="G128" s="30">
        <f>G76-G127</f>
        <v>-1719321.9300000002</v>
      </c>
      <c r="H128" s="30"/>
      <c r="I128" s="82"/>
    </row>
    <row r="129" spans="1:9" ht="24" customHeight="1">
      <c r="A129" s="1" t="s">
        <v>57</v>
      </c>
      <c r="B129" s="85" t="s">
        <v>165</v>
      </c>
      <c r="C129" s="85"/>
      <c r="D129" s="85" t="s">
        <v>185</v>
      </c>
      <c r="E129" s="85"/>
      <c r="F129" s="85"/>
      <c r="G129" s="28" t="s">
        <v>183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295987.39</v>
      </c>
      <c r="E130" s="85"/>
      <c r="F130" s="85"/>
      <c r="G130" s="27">
        <f>G132+G133</f>
        <v>60093.4</v>
      </c>
      <c r="H130" s="85"/>
      <c r="I130" s="82">
        <f>D130-август!D130</f>
        <v>-15279.209999999963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5">
        <f>Март!B130</f>
        <v>24892.3</v>
      </c>
      <c r="C132" s="85"/>
      <c r="D132" s="85">
        <v>257313.51</v>
      </c>
      <c r="E132" s="85"/>
      <c r="F132" s="85"/>
      <c r="G132" s="28">
        <v>21649.72</v>
      </c>
      <c r="H132" s="85"/>
      <c r="I132" s="82">
        <f>D132-август!D132</f>
        <v>47746.71000000002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295987.39-D132</f>
        <v>38673.880000000005</v>
      </c>
      <c r="E133" s="85"/>
      <c r="F133" s="85"/>
      <c r="G133" s="28">
        <v>38443.68</v>
      </c>
      <c r="H133" s="85"/>
      <c r="I133" s="82">
        <f>D133-август!D133</f>
        <v>-63025.919999999984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43">
        <f>G135-G136</f>
        <v>-20000</v>
      </c>
      <c r="H134" s="90"/>
      <c r="I134" s="82">
        <f>D134-август!D134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44">
        <v>0</v>
      </c>
      <c r="H135" s="91"/>
      <c r="I135" s="82">
        <f>D135-август!D135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44">
        <v>20000</v>
      </c>
      <c r="H136" s="91"/>
      <c r="I136" s="82">
        <f>D136-август!D136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2022-10-17T08:35:46Z</cp:lastPrinted>
  <dcterms:created xsi:type="dcterms:W3CDTF">2010-09-10T01:16:58Z</dcterms:created>
  <dcterms:modified xsi:type="dcterms:W3CDTF">2023-03-24T03:34:48Z</dcterms:modified>
  <cp:category/>
  <cp:version/>
  <cp:contentType/>
  <cp:contentStatus/>
</cp:coreProperties>
</file>