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Январь" sheetId="1" r:id="rId1"/>
    <sheet name="май1" sheetId="2" state="hidden" r:id="rId2"/>
  </sheets>
  <definedNames>
    <definedName name="_xlnm.Print_Titles" localSheetId="1">'май1'!$4:$5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<sst xmlns="http://schemas.openxmlformats.org/spreadsheetml/2006/main" count="349" uniqueCount="154">
  <si>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</si>
  <si>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</si>
  <si>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</si>
  <si>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</si>
  <si>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</si>
  <si>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</si>
  <si>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</si>
  <si>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</si>
  <si>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</si>
  <si>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</si>
  <si>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</si>
  <si>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</si>
  <si>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</si>
  <si>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</si>
  <si>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</si>
  <si>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</si>
  <si>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</si>
  <si>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</si>
  <si>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</si>
  <si>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</si>
  <si>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</si>
  <si>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</si>
  <si>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</si>
  <si>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</si>
  <si>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</si>
  <si>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</si>
  <si>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</si>
  <si>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</si>
  <si>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</si>
  <si>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</si>
  <si>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</si>
  <si>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</si>
  <si>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</si>
  <si>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</si>
  <si>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</si>
  <si>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</si>
  <si>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</si>
  <si>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</si>
  <si>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</si>
  <si>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</si>
  <si>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</si>
  <si>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</si>
  <si>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</si>
  <si>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</si>
  <si>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</si>
  <si>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</si>
  <si>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</si>
  <si>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</si>
  <si>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</si>
  <si>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</si>
  <si>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</si>
  <si>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</si>
  <si>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</si>
  <si>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</si>
  <si>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</si>
  <si>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</si>
  <si>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</si>
  <si>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</si>
  <si>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</si>
  <si>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</si>
  <si>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</si>
  <si>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</si>
  <si>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</si>
  <si>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</si>
  <si>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</si>
  <si>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</si>
  <si>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</si>
  <si>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</si>
  <si>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</si>
  <si>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</si>
  <si>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</si>
  <si>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</si>
  <si>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</si>
  <si>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</si>
  <si>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</si>
  <si>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</si>
  <si>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</si>
  <si>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</si>
  <si>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</si>
  <si>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</si>
  <si>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</si>
  <si>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</si>
  <si>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</si>
  <si>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</si>
  <si>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</si>
  <si>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</si>
  <si>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</si>
  <si>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</si>
  <si>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</si>
  <si>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</si>
  <si>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</si>
  <si>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</si>
  <si>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</si>
  <si>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</si>
  <si>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</si>
  <si>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</si>
  <si>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</si>
  <si>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</si>
  <si>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</si>
  <si>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</si>
  <si>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</si>
  <si>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</si>
  <si>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</si>
  <si>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</si>
  <si>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</si>
  <si>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</si>
  <si>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</si>
  <si>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</si>
  <si>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</si>
  <si>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</si>
  <si>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</si>
  <si>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</si>
  <si>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</si>
  <si>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</si>
  <si>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</si>
  <si>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</si>
  <si>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</si>
  <si>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</si>
  <si>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</si>
  <si>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</si>
  <si>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</si>
  <si>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</si>
  <si>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</si>
  <si>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</si>
  <si>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</si>
  <si>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</si>
  <si>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</si>
  <si>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</si>
  <si>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</si>
  <si>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</si>
  <si>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</si>
  <si>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</si>
  <si>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</si>
  <si>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</si>
  <si>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</si>
  <si>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</si>
  <si>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</si>
  <si>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</si>
  <si>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</si>
  <si>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</si>
  <si>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</si>
  <si>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</si>
  <si>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</si>
  <si>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</si>
  <si>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</si>
  <si>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</si>
  <si>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</si>
  <si>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</si>
  <si>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На 01.02.2021</t>
  </si>
  <si>
    <t>-</t>
  </si>
  <si>
    <t>на 01 февраля 2022 года</t>
  </si>
  <si>
    <t>План за 1 мес 2022 г.</t>
  </si>
  <si>
    <t>Факт за аналогичный период 2021 г.</t>
  </si>
  <si>
    <t>На 01.02.2022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</si>
</sst>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3" fillId="0" borderId="15" xfId="0" applyNumberFormat="1" applyFont="1" applyFill="1" applyBorder="1" applyAlignment="1" applyProtection="1">
      <alignment horizontal="center" vertical="top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2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PageLayoutView="0" workbookViewId="0" topLeftCell="A1">
      <pane xSplit="1" ySplit="6" topLeftCell="B10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4" sqref="I124"/>
    </sheetView>
  </sheetViews>
  <sheetFormatPr defaultColWidth="9.00390625" defaultRowHeight="12.75"/>
  <cols>
    <col min="1" max="1" width="44.875" style="22" customWidth="1"/>
    <col min="2" max="2" width="13.00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102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150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151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89" t="s">
        <v>3</v>
      </c>
      <c r="B6" s="90"/>
      <c r="C6" s="90"/>
      <c r="D6" s="90"/>
      <c r="E6" s="90"/>
      <c r="F6" s="90"/>
      <c r="G6" s="90"/>
      <c r="H6" s="90"/>
      <c r="I6" s="91"/>
    </row>
    <row r="7" spans="1:9" ht="12.75">
      <c r="A7" s="51" t="s">
        <v>104</v>
      </c>
      <c r="B7" s="35">
        <f>B8+B16+B21+B26+B29</f>
        <v>588694.93</v>
      </c>
      <c r="C7" s="35">
        <f>C8+C16+C21+C26+C29</f>
        <v>29258.8</v>
      </c>
      <c r="D7" s="35">
        <f>D8+D16+D21+D26+D29</f>
        <v>30541.34192</v>
      </c>
      <c r="E7" s="26">
        <v>4.965392559980632</v>
      </c>
      <c r="F7" s="26">
        <v>27699.089999999997</v>
      </c>
      <c r="G7" s="35">
        <v>26763.81</v>
      </c>
      <c r="H7" s="26">
        <v>96.62342697900908</v>
      </c>
      <c r="I7" s="35">
        <v>26763.81</v>
      </c>
    </row>
    <row r="8" spans="1:9" ht="12.75">
      <c r="A8" s="52" t="s">
        <v>4</v>
      </c>
      <c r="B8" s="26">
        <f>B9+B10</f>
        <v>340235.9</v>
      </c>
      <c r="C8" s="26">
        <f>C9+C10</f>
        <v>16905</v>
      </c>
      <c r="D8" s="26">
        <f>D9+D10</f>
        <v>16918.55102</v>
      </c>
      <c r="E8" s="26">
        <v>3.219829228170159</v>
      </c>
      <c r="F8" s="26">
        <v>10645.39</v>
      </c>
      <c r="G8" s="26">
        <v>10361.83</v>
      </c>
      <c r="H8" s="26">
        <v>97.3363117743925</v>
      </c>
      <c r="I8" s="26">
        <v>10361.83</v>
      </c>
    </row>
    <row r="9" spans="1:9" ht="25.5">
      <c r="A9" s="53" t="s">
        <v>5</v>
      </c>
      <c r="B9" s="27">
        <f>8446300/1000</f>
        <v>8446.3</v>
      </c>
      <c r="C9" s="27">
        <f>500000/1000</f>
        <v>500</v>
      </c>
      <c r="D9" s="27">
        <f>506536.75/1000</f>
        <v>506.53675</v>
      </c>
      <c r="E9" s="26">
        <v>3.677727956879093</v>
      </c>
      <c r="F9" s="26">
        <v>200.86</v>
      </c>
      <c r="G9" s="27">
        <v>466.7</v>
      </c>
      <c r="H9" s="26">
        <v>232.3508911679777</v>
      </c>
      <c r="I9" s="27">
        <v>466.7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16405</v>
      </c>
      <c r="D10" s="46">
        <f>SUM(D11:D15)</f>
        <v>16412.01427</v>
      </c>
      <c r="E10" s="47">
        <v>3.201031899489372</v>
      </c>
      <c r="F10" s="26">
        <v>10444.529999999999</v>
      </c>
      <c r="G10" s="46">
        <v>9895.13</v>
      </c>
      <c r="H10" s="47">
        <v>94.7398303226665</v>
      </c>
      <c r="I10" s="46">
        <v>9895.13</v>
      </c>
    </row>
    <row r="11" spans="1:9" ht="51">
      <c r="A11" s="56" t="s">
        <v>74</v>
      </c>
      <c r="B11" s="28">
        <f>316825700/1000</f>
        <v>316825.7</v>
      </c>
      <c r="C11" s="28">
        <f>13742700/1000</f>
        <v>13742.7</v>
      </c>
      <c r="D11" s="28">
        <f>10829327.5/1000</f>
        <v>10829.3275</v>
      </c>
      <c r="E11" s="26">
        <v>3.272101341737949</v>
      </c>
      <c r="F11" s="26">
        <v>10058</v>
      </c>
      <c r="G11" s="28">
        <v>9682.8</v>
      </c>
      <c r="H11" s="26">
        <v>96.26963611055875</v>
      </c>
      <c r="I11" s="28">
        <v>9682.8</v>
      </c>
    </row>
    <row r="12" spans="1:9" ht="51" customHeight="1">
      <c r="A12" s="56" t="s">
        <v>75</v>
      </c>
      <c r="B12" s="28">
        <f>6481500/1000</f>
        <v>6481.5</v>
      </c>
      <c r="C12" s="28">
        <f>71100/1000</f>
        <v>71.1</v>
      </c>
      <c r="D12" s="28">
        <f>71132.83/1000</f>
        <v>71.13283</v>
      </c>
      <c r="E12" s="26">
        <v>1.1055338816688618</v>
      </c>
      <c r="F12" s="26">
        <v>81.56</v>
      </c>
      <c r="G12" s="28">
        <v>44.49</v>
      </c>
      <c r="H12" s="26">
        <v>54.54879843060324</v>
      </c>
      <c r="I12" s="28">
        <v>44.49</v>
      </c>
    </row>
    <row r="13" spans="1:9" ht="25.5">
      <c r="A13" s="56" t="s">
        <v>76</v>
      </c>
      <c r="B13" s="28">
        <f>3576400/1000</f>
        <v>3576.4</v>
      </c>
      <c r="C13" s="28">
        <f>62000/1000</f>
        <v>62</v>
      </c>
      <c r="D13" s="28">
        <f>62006.21/1000</f>
        <v>62.006209999999996</v>
      </c>
      <c r="E13" s="26">
        <v>1.4850758712689678</v>
      </c>
      <c r="F13" s="26">
        <v>117.15</v>
      </c>
      <c r="G13" s="28">
        <v>44.53</v>
      </c>
      <c r="H13" s="26">
        <v>38.01109688433632</v>
      </c>
      <c r="I13" s="28">
        <v>44.53</v>
      </c>
    </row>
    <row r="14" spans="1:9" ht="63.75">
      <c r="A14" s="56" t="s">
        <v>78</v>
      </c>
      <c r="B14" s="28">
        <f>2580100/1000</f>
        <v>2580.1</v>
      </c>
      <c r="C14" s="28">
        <f>203300/1000</f>
        <v>203.3</v>
      </c>
      <c r="D14" s="28">
        <f>203387.85/1000</f>
        <v>203.38785000000001</v>
      </c>
      <c r="E14" s="26">
        <v>3.1105153257198834</v>
      </c>
      <c r="F14" s="26">
        <v>187.82</v>
      </c>
      <c r="G14" s="28">
        <v>120.66</v>
      </c>
      <c r="H14" s="26">
        <v>64.24235970610158</v>
      </c>
      <c r="I14" s="28">
        <v>120.66</v>
      </c>
    </row>
    <row r="15" spans="1:9" ht="37.5" customHeight="1">
      <c r="A15" s="56" t="s">
        <v>145</v>
      </c>
      <c r="B15" s="36">
        <f>2325900/1000</f>
        <v>2325.9</v>
      </c>
      <c r="C15" s="36">
        <f>2325900/1000</f>
        <v>2325.9</v>
      </c>
      <c r="D15" s="36">
        <f>5246159.88/1000</f>
        <v>5246.15988</v>
      </c>
      <c r="E15" s="26">
        <v>0.11515230521878937</v>
      </c>
      <c r="F15" s="26"/>
      <c r="G15" s="35">
        <v>2.65</v>
      </c>
      <c r="H15" s="26">
        <v>0</v>
      </c>
      <c r="I15" s="35">
        <v>2.65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4229.000000000001</v>
      </c>
      <c r="D16" s="27">
        <f>SUM(D17:D20)</f>
        <v>5206.58843</v>
      </c>
      <c r="E16" s="26">
        <v>7.660487270554653</v>
      </c>
      <c r="F16" s="26">
        <v>1853.18</v>
      </c>
      <c r="G16" s="28">
        <v>1846.3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80">
        <f>25133060/1000</f>
        <v>25133.06</v>
      </c>
      <c r="C17" s="80">
        <f>1927330/1000</f>
        <v>1927.33</v>
      </c>
      <c r="D17" s="80">
        <f>2392168.44/1000</f>
        <v>2392.16844</v>
      </c>
      <c r="E17" s="26">
        <v>7.662696763233513</v>
      </c>
      <c r="F17" s="26">
        <v>844.23</v>
      </c>
      <c r="G17" s="28">
        <v>848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80">
        <f>139120/1000</f>
        <v>139.12</v>
      </c>
      <c r="C18" s="80">
        <f>10650/1000</f>
        <v>10.65</v>
      </c>
      <c r="D18" s="80">
        <f>14077.8/1000</f>
        <v>14.0778</v>
      </c>
      <c r="E18" s="26">
        <v>7.923930269413629</v>
      </c>
      <c r="F18" s="26">
        <v>5.74</v>
      </c>
      <c r="G18" s="28">
        <v>5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80">
        <f>33467400/1000</f>
        <v>33467.4</v>
      </c>
      <c r="C19" s="80">
        <f>2586380/1000</f>
        <v>2586.38</v>
      </c>
      <c r="D19" s="80">
        <f>2959715.18/1000</f>
        <v>2959.71518</v>
      </c>
      <c r="E19" s="26">
        <v>7.816024839600479</v>
      </c>
      <c r="F19" s="26">
        <v>1158.41</v>
      </c>
      <c r="G19" s="28">
        <v>1137.81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80">
        <f>-3151550/1000</f>
        <v>-3151.55</v>
      </c>
      <c r="C20" s="80">
        <f>-295360/1000</f>
        <v>-295.36</v>
      </c>
      <c r="D20" s="80">
        <f>-159372.99/1000</f>
        <v>-159.37299</v>
      </c>
      <c r="E20" s="26">
        <v>9.114474929044466</v>
      </c>
      <c r="F20" s="26">
        <v>-155.2</v>
      </c>
      <c r="G20" s="35">
        <v>-144.51</v>
      </c>
      <c r="H20" s="26">
        <v>93.11211340206185</v>
      </c>
      <c r="I20" s="35">
        <v>-144.51</v>
      </c>
    </row>
    <row r="21" spans="1:9" ht="12.75">
      <c r="A21" s="59" t="s">
        <v>7</v>
      </c>
      <c r="B21" s="27">
        <f>SUM(B22:B25)</f>
        <v>134216.5</v>
      </c>
      <c r="C21" s="27">
        <f>SUM(C22:C25)</f>
        <v>5720</v>
      </c>
      <c r="D21" s="27">
        <f>SUM(D22:D25)</f>
        <v>5984.851520000002</v>
      </c>
      <c r="E21" s="26">
        <v>10.898822910329365</v>
      </c>
      <c r="F21" s="26">
        <v>7362.96</v>
      </c>
      <c r="G21" s="28">
        <v>8980.52</v>
      </c>
      <c r="H21" s="26">
        <v>121.96888208003303</v>
      </c>
      <c r="I21" s="28">
        <v>8980.52</v>
      </c>
    </row>
    <row r="22" spans="1:9" ht="28.5" customHeight="1">
      <c r="A22" s="56" t="s">
        <v>146</v>
      </c>
      <c r="B22" s="28">
        <f>110640700/1000</f>
        <v>110640.7</v>
      </c>
      <c r="C22" s="28">
        <f>4620000/1000</f>
        <v>4620</v>
      </c>
      <c r="D22" s="28">
        <f>4635050.98/1000</f>
        <v>4635.050980000001</v>
      </c>
      <c r="E22" s="26">
        <v>4.051498596971627</v>
      </c>
      <c r="F22" s="26"/>
      <c r="G22" s="28">
        <v>2988.75</v>
      </c>
      <c r="H22" s="26">
        <v>0</v>
      </c>
      <c r="I22" s="28">
        <v>2988.75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35866.93/1000</f>
        <v>35.86693</v>
      </c>
      <c r="E23" s="26">
        <v>100.30560611576264</v>
      </c>
      <c r="F23" s="26">
        <v>7198.75</v>
      </c>
      <c r="G23" s="28">
        <v>5510.79</v>
      </c>
      <c r="H23" s="26">
        <v>76.55204028477166</v>
      </c>
      <c r="I23" s="28">
        <v>5510.79</v>
      </c>
    </row>
    <row r="24" spans="1:9" ht="15" customHeight="1">
      <c r="A24" s="56" t="s">
        <v>87</v>
      </c>
      <c r="B24" s="36">
        <f>1245000/1000</f>
        <v>1245</v>
      </c>
      <c r="C24" s="36">
        <v>0</v>
      </c>
      <c r="D24" s="36">
        <f>127520/1000</f>
        <v>127.52</v>
      </c>
      <c r="E24" s="26">
        <v>45.19640404110661</v>
      </c>
      <c r="F24" s="26">
        <v>113.58</v>
      </c>
      <c r="G24" s="35">
        <v>259.92</v>
      </c>
      <c r="H24" s="26">
        <v>228.84310618066564</v>
      </c>
      <c r="I24" s="35">
        <v>259.92</v>
      </c>
    </row>
    <row r="25" spans="1:9" ht="27" customHeight="1">
      <c r="A25" s="56" t="s">
        <v>88</v>
      </c>
      <c r="B25" s="28">
        <f>22330800/1000</f>
        <v>22330.8</v>
      </c>
      <c r="C25" s="28">
        <f>1100000/1000</f>
        <v>1100</v>
      </c>
      <c r="D25" s="28">
        <f>1186413.61/1000</f>
        <v>1186.41361</v>
      </c>
      <c r="E25" s="26">
        <v>8.632121519778204</v>
      </c>
      <c r="F25" s="26">
        <v>50.63</v>
      </c>
      <c r="G25" s="28">
        <v>221.06</v>
      </c>
      <c r="H25" s="26">
        <v>436.61860556982026</v>
      </c>
      <c r="I25" s="28">
        <v>221.06</v>
      </c>
    </row>
    <row r="26" spans="1:9" ht="12.75">
      <c r="A26" s="59" t="s">
        <v>8</v>
      </c>
      <c r="B26" s="27">
        <f>SUM(B27:B28)</f>
        <v>42549</v>
      </c>
      <c r="C26" s="27">
        <f>SUM(C27:C28)</f>
        <v>1400</v>
      </c>
      <c r="D26" s="27">
        <f>SUM(D27:D28)</f>
        <v>1404.8256999999999</v>
      </c>
      <c r="E26" s="26">
        <v>3.1253298344654623</v>
      </c>
      <c r="F26" s="26">
        <v>2465.82</v>
      </c>
      <c r="G26" s="28">
        <v>1291.03</v>
      </c>
      <c r="H26" s="26">
        <v>52.357025249207155</v>
      </c>
      <c r="I26" s="28">
        <v>1291.03</v>
      </c>
    </row>
    <row r="27" spans="1:9" ht="12.75">
      <c r="A27" s="56" t="s">
        <v>106</v>
      </c>
      <c r="B27" s="36">
        <f>25216900/1000</f>
        <v>25216.9</v>
      </c>
      <c r="C27" s="36">
        <f>770000/1000</f>
        <v>770</v>
      </c>
      <c r="D27" s="36">
        <f>777295.01/1000</f>
        <v>777.29501</v>
      </c>
      <c r="E27" s="26">
        <v>2.3058490133566707</v>
      </c>
      <c r="F27" s="26">
        <v>536.1</v>
      </c>
      <c r="G27" s="35">
        <v>553.3</v>
      </c>
      <c r="H27" s="26">
        <v>103.20835664987875</v>
      </c>
      <c r="I27" s="35">
        <v>553.3</v>
      </c>
    </row>
    <row r="28" spans="1:9" ht="12.75">
      <c r="A28" s="56" t="s">
        <v>107</v>
      </c>
      <c r="B28" s="28">
        <f>17332100/1000</f>
        <v>17332.1</v>
      </c>
      <c r="C28" s="28">
        <f>630000/1000</f>
        <v>630</v>
      </c>
      <c r="D28" s="28">
        <f>627530.69/1000</f>
        <v>627.5306899999999</v>
      </c>
      <c r="E28" s="26">
        <v>4.261108640278171</v>
      </c>
      <c r="F28" s="26">
        <v>1929.72</v>
      </c>
      <c r="G28" s="28">
        <v>737.73</v>
      </c>
      <c r="H28" s="26">
        <v>38.22989863814439</v>
      </c>
      <c r="I28" s="28">
        <v>737.73</v>
      </c>
    </row>
    <row r="29" spans="1:9" ht="12.75">
      <c r="A29" s="52" t="s">
        <v>9</v>
      </c>
      <c r="B29" s="28">
        <f>SUM(B30:B32)</f>
        <v>16105.5</v>
      </c>
      <c r="C29" s="28">
        <f>SUM(C30:C32)</f>
        <v>1004.8</v>
      </c>
      <c r="D29" s="28">
        <f>SUM(D30:D32)</f>
        <v>1026.5252500000001</v>
      </c>
      <c r="E29" s="26">
        <v>4.308004795299116</v>
      </c>
      <c r="F29" s="26">
        <v>793.07</v>
      </c>
      <c r="G29" s="28">
        <v>693.5500000000001</v>
      </c>
      <c r="H29" s="26">
        <v>87.45129685904145</v>
      </c>
      <c r="I29" s="28">
        <v>693.5500000000001</v>
      </c>
    </row>
    <row r="30" spans="1:9" ht="25.5">
      <c r="A30" s="56" t="s">
        <v>10</v>
      </c>
      <c r="B30" s="28">
        <f>15988300/1000</f>
        <v>15988.3</v>
      </c>
      <c r="C30" s="28">
        <f>1000000/1000</f>
        <v>1000</v>
      </c>
      <c r="D30" s="28">
        <f>1014925.25/1000</f>
        <v>1014.92525</v>
      </c>
      <c r="E30" s="26">
        <v>4.329151937935997</v>
      </c>
      <c r="F30" s="26">
        <v>793.07</v>
      </c>
      <c r="G30" s="28">
        <v>691.95</v>
      </c>
      <c r="H30" s="26">
        <v>87.24954922011928</v>
      </c>
      <c r="I30" s="28">
        <v>691.95</v>
      </c>
    </row>
    <row r="31" spans="1:9" ht="25.5">
      <c r="A31" s="56" t="s">
        <v>91</v>
      </c>
      <c r="B31" s="80">
        <f>67200/1000</f>
        <v>67.2</v>
      </c>
      <c r="C31" s="80">
        <f>4800/1000</f>
        <v>4.8</v>
      </c>
      <c r="D31" s="80">
        <f>1600/1000</f>
        <v>1.6</v>
      </c>
      <c r="E31" s="26">
        <v>2.439024390243903</v>
      </c>
      <c r="F31" s="26">
        <v>0</v>
      </c>
      <c r="G31" s="35">
        <v>1.6</v>
      </c>
      <c r="H31" s="26" t="s">
        <v>111</v>
      </c>
      <c r="I31" s="35">
        <v>1.6</v>
      </c>
    </row>
    <row r="32" spans="1:9" ht="25.5">
      <c r="A32" s="56" t="s">
        <v>90</v>
      </c>
      <c r="B32" s="80">
        <f>50000/1000</f>
        <v>50</v>
      </c>
      <c r="C32" s="80">
        <v>0</v>
      </c>
      <c r="D32" s="80">
        <f>10000/1000</f>
        <v>10</v>
      </c>
      <c r="E32" s="26">
        <v>0</v>
      </c>
      <c r="F32" s="26">
        <v>0</v>
      </c>
      <c r="G32" s="28">
        <v>0</v>
      </c>
      <c r="H32" s="26" t="s">
        <v>111</v>
      </c>
      <c r="I32" s="28">
        <v>0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>
        <v>0</v>
      </c>
      <c r="G33" s="28">
        <v>0.02</v>
      </c>
      <c r="H33" s="26" t="s">
        <v>111</v>
      </c>
      <c r="I33" s="28">
        <v>0.02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s">
        <v>111</v>
      </c>
      <c r="F34" s="26">
        <v>0</v>
      </c>
      <c r="G34" s="35">
        <v>0.02</v>
      </c>
      <c r="H34" s="26" t="s">
        <v>111</v>
      </c>
      <c r="I34" s="35">
        <v>0.02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>
        <v>0</v>
      </c>
      <c r="G35" s="28">
        <v>0</v>
      </c>
      <c r="H35" s="26" t="s">
        <v>111</v>
      </c>
      <c r="I35" s="28"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4283.3553</v>
      </c>
      <c r="D36" s="28">
        <f>SUM(D38:D44)</f>
        <v>3331.27835</v>
      </c>
      <c r="E36" s="26">
        <v>6.105867572723875</v>
      </c>
      <c r="F36" s="26">
        <v>3247.05</v>
      </c>
      <c r="G36" s="28">
        <v>2980.23</v>
      </c>
      <c r="H36" s="26">
        <v>91.78269506167136</v>
      </c>
      <c r="I36" s="28">
        <v>2980.2299999999996</v>
      </c>
    </row>
    <row r="37" spans="1:9" ht="81.75" customHeight="1" hidden="1">
      <c r="A37" s="56" t="s">
        <v>114</v>
      </c>
      <c r="B37" s="28"/>
      <c r="C37" s="28"/>
      <c r="D37" s="28"/>
      <c r="E37" s="26" t="s">
        <v>112</v>
      </c>
      <c r="F37" s="26"/>
      <c r="G37" s="28"/>
      <c r="H37" s="26" t="e">
        <v>#DIV/0!</v>
      </c>
      <c r="I37" s="28"/>
    </row>
    <row r="38" spans="1:9" ht="76.5">
      <c r="A38" s="56" t="s">
        <v>117</v>
      </c>
      <c r="B38" s="28">
        <f>37670900/1000</f>
        <v>37670.9</v>
      </c>
      <c r="C38" s="28">
        <f>2000000/1000</f>
        <v>2000</v>
      </c>
      <c r="D38" s="28">
        <f>1861737.65/1000</f>
        <v>1861.7376499999998</v>
      </c>
      <c r="E38" s="26">
        <v>9.03626220362622</v>
      </c>
      <c r="F38" s="26">
        <v>2393.3</v>
      </c>
      <c r="G38" s="28">
        <v>2332.44</v>
      </c>
      <c r="H38" s="26">
        <v>97.4570676471817</v>
      </c>
      <c r="I38" s="28">
        <v>2332.44</v>
      </c>
    </row>
    <row r="39" spans="1:9" ht="76.5">
      <c r="A39" s="56" t="s">
        <v>125</v>
      </c>
      <c r="B39" s="81">
        <f>7265030/1000</f>
        <v>7265.03</v>
      </c>
      <c r="C39" s="81">
        <f>167616.14/1000</f>
        <v>167.61614</v>
      </c>
      <c r="D39" s="81">
        <f>160912.85/1000</f>
        <v>160.91285</v>
      </c>
      <c r="E39" s="26">
        <v>0</v>
      </c>
      <c r="F39" s="26">
        <v>75.44</v>
      </c>
      <c r="G39" s="28">
        <v>0</v>
      </c>
      <c r="H39" s="26" t="s">
        <v>111</v>
      </c>
      <c r="I39" s="28">
        <v>0</v>
      </c>
    </row>
    <row r="40" spans="1:9" ht="76.5">
      <c r="A40" s="56" t="s">
        <v>118</v>
      </c>
      <c r="B40" s="81">
        <f>427990/1000</f>
        <v>427.99</v>
      </c>
      <c r="C40" s="81">
        <f>32189/1000</f>
        <v>32.189</v>
      </c>
      <c r="D40" s="81">
        <f>3504.13/1000</f>
        <v>3.50413</v>
      </c>
      <c r="E40" s="26">
        <v>5.136054421768708</v>
      </c>
      <c r="F40" s="26">
        <v>3.43</v>
      </c>
      <c r="G40" s="28">
        <v>18.12</v>
      </c>
      <c r="H40" s="26">
        <v>528.2798833819242</v>
      </c>
      <c r="I40" s="28">
        <v>18.12</v>
      </c>
    </row>
    <row r="41" spans="1:9" ht="38.25">
      <c r="A41" s="56" t="s">
        <v>119</v>
      </c>
      <c r="B41" s="81">
        <f>21306530/1000</f>
        <v>21306.53</v>
      </c>
      <c r="C41" s="81">
        <f>1070948.16/1000</f>
        <v>1070.94816</v>
      </c>
      <c r="D41" s="81">
        <f>1216579.84/1000</f>
        <v>1216.57984</v>
      </c>
      <c r="E41" s="26">
        <v>2.2555273296946368</v>
      </c>
      <c r="F41" s="26">
        <v>538.73</v>
      </c>
      <c r="G41" s="28">
        <v>391.47</v>
      </c>
      <c r="H41" s="26">
        <v>72.6653425649212</v>
      </c>
      <c r="I41" s="28">
        <v>391.47</v>
      </c>
    </row>
    <row r="42" spans="1:9" ht="51">
      <c r="A42" s="56" t="s">
        <v>147</v>
      </c>
      <c r="B42" s="81">
        <f>64240/1000</f>
        <v>64.24</v>
      </c>
      <c r="C42" s="81">
        <f>5353/1000</f>
        <v>5.353</v>
      </c>
      <c r="D42" s="81">
        <v>0</v>
      </c>
      <c r="E42" s="26"/>
      <c r="F42" s="26"/>
      <c r="G42" s="27"/>
      <c r="H42" s="26"/>
      <c r="I42" s="27"/>
    </row>
    <row r="43" spans="1:9" ht="51">
      <c r="A43" s="56" t="s">
        <v>120</v>
      </c>
      <c r="B43" s="81">
        <f>2735600/1000</f>
        <v>2735.6</v>
      </c>
      <c r="C43" s="81">
        <f>683900/1000</f>
        <v>683.9</v>
      </c>
      <c r="D43" s="81">
        <v>0</v>
      </c>
      <c r="E43" s="26"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0" t="s">
        <v>121</v>
      </c>
      <c r="B44" s="82">
        <f>4080190/1000</f>
        <v>4080.19</v>
      </c>
      <c r="C44" s="82">
        <f>323349/1000</f>
        <v>323.349</v>
      </c>
      <c r="D44" s="82">
        <f>88543.88/1000</f>
        <v>88.54388</v>
      </c>
      <c r="E44" s="26">
        <v>6.287714407893695</v>
      </c>
      <c r="F44" s="26">
        <v>236.15</v>
      </c>
      <c r="G44" s="35">
        <v>238.2</v>
      </c>
      <c r="H44" s="26">
        <v>100.86809231420706</v>
      </c>
      <c r="I44" s="35">
        <v>238.2</v>
      </c>
    </row>
    <row r="45" spans="1:9" ht="27" customHeight="1">
      <c r="A45" s="53" t="s">
        <v>13</v>
      </c>
      <c r="B45" s="28">
        <f>766900/1000</f>
        <v>766.9</v>
      </c>
      <c r="C45" s="28">
        <f>200500/1000</f>
        <v>200.5</v>
      </c>
      <c r="D45" s="28">
        <f>96256.37/1000</f>
        <v>96.25636999999999</v>
      </c>
      <c r="E45" s="26">
        <v>1.3214138923140155</v>
      </c>
      <c r="F45" s="26">
        <v>43.6</v>
      </c>
      <c r="G45" s="28">
        <v>12.86</v>
      </c>
      <c r="H45" s="26">
        <v>29.495412844036693</v>
      </c>
      <c r="I45" s="28">
        <v>12.86</v>
      </c>
    </row>
    <row r="46" spans="1:9" ht="25.5">
      <c r="A46" s="53" t="s">
        <v>96</v>
      </c>
      <c r="B46" s="28">
        <f>1277590/1000</f>
        <v>1277.59</v>
      </c>
      <c r="C46" s="28">
        <f>21662/1000</f>
        <v>21.662</v>
      </c>
      <c r="D46" s="28">
        <f>21416.23/1000</f>
        <v>21.41623</v>
      </c>
      <c r="E46" s="26">
        <v>64.9142240006646</v>
      </c>
      <c r="F46" s="26">
        <v>561.58</v>
      </c>
      <c r="G46" s="28">
        <v>468.83</v>
      </c>
      <c r="H46" s="26">
        <v>83.484098436554</v>
      </c>
      <c r="I46" s="28">
        <v>468.83</v>
      </c>
    </row>
    <row r="47" spans="1:9" ht="25.5">
      <c r="A47" s="59" t="s">
        <v>14</v>
      </c>
      <c r="B47" s="28">
        <f>SUM(B48:B50)</f>
        <v>3900</v>
      </c>
      <c r="C47" s="28">
        <f>SUM(C48:C50)</f>
        <v>0</v>
      </c>
      <c r="D47" s="28">
        <f>SUM(D48:D50)</f>
        <v>273.72363</v>
      </c>
      <c r="E47" s="26">
        <v>3.005</v>
      </c>
      <c r="F47" s="26">
        <v>585.5</v>
      </c>
      <c r="G47" s="28">
        <v>42.07</v>
      </c>
      <c r="H47" s="26">
        <v>7.185311699402221</v>
      </c>
      <c r="I47" s="28">
        <v>42.07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37.14</v>
      </c>
      <c r="G49" s="28">
        <v>0</v>
      </c>
      <c r="H49" s="26">
        <v>0</v>
      </c>
      <c r="I49" s="28">
        <v>0</v>
      </c>
    </row>
    <row r="50" spans="1:9" ht="52.5" customHeight="1">
      <c r="A50" s="60" t="s">
        <v>93</v>
      </c>
      <c r="B50" s="81">
        <f>3900000/1000</f>
        <v>3900</v>
      </c>
      <c r="C50" s="81">
        <v>0</v>
      </c>
      <c r="D50" s="81">
        <f>273723.63/1000</f>
        <v>273.72363</v>
      </c>
      <c r="E50" s="26">
        <v>3.005</v>
      </c>
      <c r="F50" s="26">
        <v>548.36</v>
      </c>
      <c r="G50" s="28">
        <v>42.07</v>
      </c>
      <c r="H50" s="26">
        <v>7.671967320738202</v>
      </c>
      <c r="I50" s="28">
        <v>42.07</v>
      </c>
    </row>
    <row r="51" spans="1:9" ht="12.75">
      <c r="A51" s="53" t="s">
        <v>15</v>
      </c>
      <c r="B51" s="28">
        <f>5212700/1000</f>
        <v>5212.7</v>
      </c>
      <c r="C51" s="28">
        <f>89302/1000</f>
        <v>89.302</v>
      </c>
      <c r="D51" s="28">
        <f>105873.81/1000</f>
        <v>105.87380999999999</v>
      </c>
      <c r="E51" s="26">
        <v>5.750597436454486</v>
      </c>
      <c r="F51" s="26">
        <v>179.73</v>
      </c>
      <c r="G51" s="28">
        <v>79.41</v>
      </c>
      <c r="H51" s="26">
        <v>44.182941078284095</v>
      </c>
      <c r="I51" s="28">
        <v>79.41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 t="s">
        <v>112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v>0</v>
      </c>
      <c r="F59" s="26"/>
      <c r="G59" s="27"/>
      <c r="H59" s="26" t="e">
        <v>#DIV/0!</v>
      </c>
      <c r="I59" s="27"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 t="s">
        <v>111</v>
      </c>
      <c r="F60" s="26"/>
      <c r="G60" s="35"/>
      <c r="H60" s="26" t="s">
        <v>111</v>
      </c>
      <c r="I60" s="35"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v>0</v>
      </c>
      <c r="F61" s="26"/>
      <c r="G61" s="35"/>
      <c r="H61" s="26" t="s">
        <v>112</v>
      </c>
      <c r="I61" s="35">
        <v>0</v>
      </c>
    </row>
    <row r="62" spans="1:9" ht="12.75">
      <c r="A62" s="52" t="s">
        <v>16</v>
      </c>
      <c r="B62" s="81">
        <f>50000/1000</f>
        <v>50</v>
      </c>
      <c r="C62" s="81">
        <f>4166/1000</f>
        <v>4.166</v>
      </c>
      <c r="D62" s="81">
        <v>0</v>
      </c>
      <c r="E62" s="26">
        <v>3.2097547854933435</v>
      </c>
      <c r="F62" s="26">
        <v>-38.79</v>
      </c>
      <c r="G62" s="35">
        <v>7.16</v>
      </c>
      <c r="H62" s="26">
        <v>-18.45836555813354</v>
      </c>
      <c r="I62" s="35">
        <v>7.16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33857.7853</v>
      </c>
      <c r="D63" s="28">
        <f>D62+D51+D47+D46+D45+D36+D29+D26+D21+D16+D8</f>
        <v>34369.89031</v>
      </c>
      <c r="E63" s="26">
        <v>4.963338464106228</v>
      </c>
      <c r="F63" s="26">
        <v>27699.089999999997</v>
      </c>
      <c r="G63" s="28">
        <v>26763.81</v>
      </c>
      <c r="H63" s="26">
        <v>96.62342697900908</v>
      </c>
      <c r="I63" s="28">
        <v>26763.81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51320.40685</v>
      </c>
      <c r="D64" s="28">
        <f>D65+D70+D71</f>
        <v>26428.086470000002</v>
      </c>
      <c r="E64" s="26">
        <v>2.0856461602846825</v>
      </c>
      <c r="F64" s="26">
        <v>43822.57000000001</v>
      </c>
      <c r="G64" s="28">
        <v>45456.15</v>
      </c>
      <c r="H64" s="26">
        <v>103.7277138241778</v>
      </c>
      <c r="I64" s="28">
        <v>45456.15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51320.40685</v>
      </c>
      <c r="D65" s="28">
        <f>SUM(D66:D69)</f>
        <v>51320.40685</v>
      </c>
      <c r="E65" s="26">
        <v>2.4141802291490633</v>
      </c>
      <c r="F65" s="26">
        <v>46091.770000000004</v>
      </c>
      <c r="G65" s="28">
        <v>52616.47</v>
      </c>
      <c r="H65" s="26">
        <v>114.15588943535906</v>
      </c>
      <c r="I65" s="28">
        <v>52616.47</v>
      </c>
    </row>
    <row r="66" spans="1:9" ht="12.75">
      <c r="A66" s="56" t="s">
        <v>108</v>
      </c>
      <c r="B66" s="28">
        <f>460860200/1000</f>
        <v>460860.2</v>
      </c>
      <c r="C66" s="28">
        <f>18665500/1000</f>
        <v>18665.5</v>
      </c>
      <c r="D66" s="28">
        <f>18665500/1000</f>
        <v>18665.5</v>
      </c>
      <c r="E66" s="26">
        <v>3.598614560368527</v>
      </c>
      <c r="F66" s="26">
        <v>15902.8</v>
      </c>
      <c r="G66" s="28">
        <v>17476.6</v>
      </c>
      <c r="H66" s="26">
        <v>109.8963704504867</v>
      </c>
      <c r="I66" s="28">
        <v>17476.6</v>
      </c>
    </row>
    <row r="67" spans="1:9" ht="12.75" customHeight="1">
      <c r="A67" s="56" t="s">
        <v>109</v>
      </c>
      <c r="B67" s="28">
        <f>842782506.77/1000</f>
        <v>842782.50677</v>
      </c>
      <c r="C67" s="28">
        <f>702486/1000</f>
        <v>702.486</v>
      </c>
      <c r="D67" s="28">
        <f>702486/1000</f>
        <v>702.486</v>
      </c>
      <c r="E67" s="26">
        <v>0</v>
      </c>
      <c r="F67" s="26">
        <v>0</v>
      </c>
      <c r="G67" s="28">
        <v>0</v>
      </c>
      <c r="H67" s="26">
        <v>0</v>
      </c>
      <c r="I67" s="28">
        <v>0</v>
      </c>
    </row>
    <row r="68" spans="1:9" ht="18.75" customHeight="1">
      <c r="A68" s="56" t="s">
        <v>110</v>
      </c>
      <c r="B68" s="28">
        <f>1081078200/1000</f>
        <v>1081078.2</v>
      </c>
      <c r="C68" s="28">
        <f>31952420.85/1000</f>
        <v>31952.420850000002</v>
      </c>
      <c r="D68" s="28">
        <f>31952420.85/1000</f>
        <v>31952.420850000002</v>
      </c>
      <c r="E68" s="26">
        <v>3.4677268647560497</v>
      </c>
      <c r="F68" s="26">
        <v>30188.97</v>
      </c>
      <c r="G68" s="28">
        <v>35139.87</v>
      </c>
      <c r="H68" s="26">
        <v>116.39969830040575</v>
      </c>
      <c r="I68" s="28">
        <v>35139.87</v>
      </c>
    </row>
    <row r="69" spans="1:9" ht="12.75" customHeight="1">
      <c r="A69" s="2" t="s">
        <v>122</v>
      </c>
      <c r="B69" s="36">
        <v>47106.4</v>
      </c>
      <c r="C69" s="36">
        <v>0</v>
      </c>
      <c r="D69" s="36">
        <v>0</v>
      </c>
      <c r="E69" s="26">
        <v>0</v>
      </c>
      <c r="F69" s="26">
        <v>0</v>
      </c>
      <c r="G69" s="36">
        <v>0</v>
      </c>
      <c r="H69" s="26" t="s">
        <v>111</v>
      </c>
      <c r="I69" s="35">
        <v>0</v>
      </c>
    </row>
    <row r="70" spans="1:9" ht="12.75" customHeight="1">
      <c r="A70" s="59" t="s">
        <v>113</v>
      </c>
      <c r="B70" s="81">
        <f>4822330/1000</f>
        <v>4822.33</v>
      </c>
      <c r="C70" s="81">
        <v>0</v>
      </c>
      <c r="D70" s="81">
        <v>0</v>
      </c>
      <c r="E70" s="26" t="s">
        <v>112</v>
      </c>
      <c r="F70" s="26">
        <v>0</v>
      </c>
      <c r="G70" s="28"/>
      <c r="H70" s="26" t="s">
        <v>112</v>
      </c>
      <c r="I70" s="28">
        <v>0</v>
      </c>
    </row>
    <row r="71" spans="1:9" ht="25.5">
      <c r="A71" s="59" t="s">
        <v>21</v>
      </c>
      <c r="B71" s="81">
        <v>0</v>
      </c>
      <c r="C71" s="81">
        <v>0</v>
      </c>
      <c r="D71" s="81">
        <f>-24892320.38/1000</f>
        <v>-24892.320379999997</v>
      </c>
      <c r="E71" s="26" t="s">
        <v>112</v>
      </c>
      <c r="F71" s="26">
        <v>-2269.2</v>
      </c>
      <c r="G71" s="28">
        <v>-7160.32</v>
      </c>
      <c r="H71" s="26">
        <v>315.5438039837828</v>
      </c>
      <c r="I71" s="28">
        <v>-7160.32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85178.19214999999</v>
      </c>
      <c r="D72" s="27">
        <f>D9+D11+D12+D13+D14+D15+D17+D18+D19+D20+D22+D23+D24+D25+D27+D28+D30+D31+D32+D38+D39+D40+D41+D42+D43+D44+D45+D46+D48+D49+D50+D51+D62+D66+D67+D68+D69+D70+D71</f>
        <v>60797.976780000005</v>
      </c>
      <c r="E72" s="26">
        <v>2.656409687662987</v>
      </c>
      <c r="F72" s="26">
        <v>71521.66</v>
      </c>
      <c r="G72" s="27">
        <v>72219.96</v>
      </c>
      <c r="H72" s="26">
        <v>100.97634758477363</v>
      </c>
      <c r="I72" s="27">
        <v>72219.96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83" t="s">
        <v>22</v>
      </c>
      <c r="B77" s="84"/>
      <c r="C77" s="84"/>
      <c r="D77" s="84"/>
      <c r="E77" s="84"/>
      <c r="F77" s="84"/>
      <c r="G77" s="84"/>
      <c r="H77" s="84"/>
      <c r="I77" s="85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6663.30011</v>
      </c>
      <c r="D78" s="35">
        <f>D79+D80+D81+D82+D83+D84+D85+D86</f>
        <v>3236.1400000000003</v>
      </c>
      <c r="E78" s="26">
        <f>$D:$D/$B:$B*100</f>
        <v>1.036524562040635</v>
      </c>
      <c r="F78" s="26">
        <f>$D:$D/$C:$C*100</f>
        <v>48.56662534444963</v>
      </c>
      <c r="G78" s="35">
        <f>G79+G80+G81+G82+G83+G84+G85+G86</f>
        <v>3625.7</v>
      </c>
      <c r="H78" s="26">
        <f>$D:$D/$G:$G*100</f>
        <v>89.25559202360924</v>
      </c>
      <c r="I78" s="35">
        <f>I79+I80+I81+I82+I83+I84+I85+I86</f>
        <v>3267.7400000000002</v>
      </c>
    </row>
    <row r="79" spans="1:9" ht="14.25" customHeight="1">
      <c r="A79" s="8" t="s">
        <v>24</v>
      </c>
      <c r="B79" s="36">
        <f>2878440/1000</f>
        <v>2878.44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68</v>
      </c>
      <c r="H79" s="29">
        <v>0</v>
      </c>
      <c r="I79" s="36">
        <f>D79</f>
        <v>0</v>
      </c>
    </row>
    <row r="80" spans="1:9" ht="12.75">
      <c r="A80" s="8" t="s">
        <v>25</v>
      </c>
      <c r="B80" s="36">
        <f>6543130/1000</f>
        <v>6543.13</v>
      </c>
      <c r="C80" s="36">
        <f>462460.11/1000</f>
        <v>462.46011</v>
      </c>
      <c r="D80" s="36">
        <v>176.91</v>
      </c>
      <c r="E80" s="29">
        <f>$D:$D/$B:$B*100</f>
        <v>2.703751874103067</v>
      </c>
      <c r="F80" s="29">
        <f>$D:$D/$C:$C*100</f>
        <v>38.25411017611876</v>
      </c>
      <c r="G80" s="36">
        <v>426</v>
      </c>
      <c r="H80" s="29">
        <f>$D:$D/$G:$G*100</f>
        <v>41.528169014084504</v>
      </c>
      <c r="I80" s="36">
        <f>D80</f>
        <v>176.91</v>
      </c>
    </row>
    <row r="81" spans="1:9" ht="25.5">
      <c r="A81" s="8" t="s">
        <v>26</v>
      </c>
      <c r="B81" s="36">
        <f>63980770/1000</f>
        <v>63980.77</v>
      </c>
      <c r="C81" s="36">
        <v>4457.05</v>
      </c>
      <c r="D81" s="36">
        <v>1687.84</v>
      </c>
      <c r="E81" s="29">
        <f>$D:$D/$B:$B*100</f>
        <v>2.6380426493773053</v>
      </c>
      <c r="F81" s="29">
        <f>$D:$D/$C:$C*100</f>
        <v>37.86899406558149</v>
      </c>
      <c r="G81" s="36">
        <v>1390.8</v>
      </c>
      <c r="H81" s="29">
        <f>$D:$D/$G:$G*100</f>
        <v>121.35749209088293</v>
      </c>
      <c r="I81" s="36">
        <f aca="true" t="shared" si="0" ref="I81:I125">D81</f>
        <v>1687.84</v>
      </c>
    </row>
    <row r="82" spans="1:9" ht="12.75">
      <c r="A82" s="8" t="s">
        <v>72</v>
      </c>
      <c r="B82" s="45">
        <f>327700/1000</f>
        <v>327.7</v>
      </c>
      <c r="C82" s="45">
        <v>0</v>
      </c>
      <c r="D82" s="36">
        <v>0</v>
      </c>
      <c r="E82" s="29">
        <v>0</v>
      </c>
      <c r="F82" s="29">
        <v>0</v>
      </c>
      <c r="G82" s="45">
        <v>0</v>
      </c>
      <c r="H82" s="29">
        <v>0</v>
      </c>
      <c r="I82" s="36">
        <f>D83</f>
        <v>437.11</v>
      </c>
    </row>
    <row r="83" spans="1:9" ht="25.5">
      <c r="A83" s="1" t="s">
        <v>27</v>
      </c>
      <c r="B83" s="28">
        <f>15705720/1000</f>
        <v>15705.72</v>
      </c>
      <c r="C83" s="28">
        <v>640.93</v>
      </c>
      <c r="D83" s="36">
        <v>437.11</v>
      </c>
      <c r="E83" s="29">
        <f>$D:$D/$B:$B*100</f>
        <v>2.7831261476710396</v>
      </c>
      <c r="F83" s="29">
        <v>0</v>
      </c>
      <c r="G83" s="28">
        <v>823.7</v>
      </c>
      <c r="H83" s="29">
        <f>$D:$D/$G:$G*100</f>
        <v>53.06665047954352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28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f>1000000/1000</f>
        <v>1000</v>
      </c>
      <c r="C85" s="28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934.28</v>
      </c>
    </row>
    <row r="86" spans="1:9" ht="12.75">
      <c r="A86" s="1" t="s">
        <v>30</v>
      </c>
      <c r="B86" s="36">
        <f>221774883/1000</f>
        <v>221774.883</v>
      </c>
      <c r="C86" s="28">
        <v>1102.86</v>
      </c>
      <c r="D86" s="36">
        <v>934.28</v>
      </c>
      <c r="E86" s="29">
        <f>$D:$D/$B:$B*100</f>
        <v>0.42127403579782297</v>
      </c>
      <c r="F86" s="29">
        <f>$D:$D/$C:$C*100</f>
        <v>84.71428830495258</v>
      </c>
      <c r="G86" s="36">
        <v>917.2</v>
      </c>
      <c r="H86" s="29">
        <f>$D:$D/$G:$G*100</f>
        <v>101.86218927169645</v>
      </c>
      <c r="I86" s="36">
        <f>D87</f>
        <v>31.6</v>
      </c>
    </row>
    <row r="87" spans="1:9" ht="12.75">
      <c r="A87" s="7" t="s">
        <v>31</v>
      </c>
      <c r="B87" s="27">
        <f>428600/1000</f>
        <v>428.6</v>
      </c>
      <c r="C87" s="28">
        <v>35</v>
      </c>
      <c r="D87" s="36">
        <v>31.6</v>
      </c>
      <c r="E87" s="26">
        <f>$D:$D/$B:$B*100</f>
        <v>7.372841810545963</v>
      </c>
      <c r="F87" s="26">
        <f>$D:$D/$C:$C*100</f>
        <v>90.28571428571429</v>
      </c>
      <c r="G87" s="35">
        <v>33.7</v>
      </c>
      <c r="H87" s="26">
        <v>0</v>
      </c>
      <c r="I87" s="35">
        <f>D87</f>
        <v>31.6</v>
      </c>
    </row>
    <row r="88" spans="1:9" ht="25.5">
      <c r="A88" s="9" t="s">
        <v>32</v>
      </c>
      <c r="B88" s="27">
        <f>4928424.15/1000</f>
        <v>4928.424150000001</v>
      </c>
      <c r="C88" s="28">
        <v>109.72</v>
      </c>
      <c r="D88" s="36">
        <v>87</v>
      </c>
      <c r="E88" s="26">
        <f>$D:$D/$B:$B*100</f>
        <v>1.7652701421812484</v>
      </c>
      <c r="F88" s="26">
        <f>$D:$D/$C:$C*100</f>
        <v>79.29274516952242</v>
      </c>
      <c r="G88" s="27">
        <v>130</v>
      </c>
      <c r="H88" s="26">
        <f>$D:$D/$G:$G*100</f>
        <v>66.92307692307692</v>
      </c>
      <c r="I88" s="35">
        <f t="shared" si="0"/>
        <v>87</v>
      </c>
    </row>
    <row r="89" spans="1:9" ht="12.75">
      <c r="A89" s="7" t="s">
        <v>33</v>
      </c>
      <c r="B89" s="35">
        <f>B90+B91+B92+B93+B94</f>
        <v>112585.3138</v>
      </c>
      <c r="C89" s="35">
        <f>C90+C91+C92+C93+C94</f>
        <v>931.56</v>
      </c>
      <c r="D89" s="35">
        <f>D90+D91+D92+D93+D94</f>
        <v>880.29</v>
      </c>
      <c r="E89" s="26">
        <f>$D:$D/$B:$B*100</f>
        <v>0.7818870599444028</v>
      </c>
      <c r="F89" s="26">
        <f>$D:$D/$C:$C*100</f>
        <v>94.4963287388896</v>
      </c>
      <c r="G89" s="35">
        <f>G90+G91+G92+G93+G94</f>
        <v>620.5</v>
      </c>
      <c r="H89" s="26">
        <f>$D:$D/$G:$G*100</f>
        <v>141.86784850926674</v>
      </c>
      <c r="I89" s="35">
        <f t="shared" si="0"/>
        <v>880.29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f>550000/1000</f>
        <v>550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f>27875603.8/1000</f>
        <v>27875.6038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77</v>
      </c>
      <c r="B93" s="28">
        <f>65418760/1000</f>
        <v>65418.76</v>
      </c>
      <c r="C93" s="28">
        <v>0</v>
      </c>
      <c r="D93" s="28">
        <v>0</v>
      </c>
      <c r="E93" s="29">
        <f>$D:$D/$B:$B*100</f>
        <v>0</v>
      </c>
      <c r="F93" s="29" t="e">
        <f>$D:$D/$C:$C*100</f>
        <v>#DIV/0!</v>
      </c>
      <c r="G93" s="28">
        <v>0</v>
      </c>
      <c r="H93" s="29">
        <v>0</v>
      </c>
      <c r="I93" s="36">
        <f t="shared" si="0"/>
        <v>0</v>
      </c>
    </row>
    <row r="94" spans="1:9" ht="12.75">
      <c r="A94" s="8" t="s">
        <v>35</v>
      </c>
      <c r="B94" s="36">
        <f>18740950/1000</f>
        <v>18740.95</v>
      </c>
      <c r="C94" s="28">
        <v>931.56</v>
      </c>
      <c r="D94" s="28">
        <v>880.29</v>
      </c>
      <c r="E94" s="29">
        <f>$D:$D/$B:$B*100</f>
        <v>4.697147156360803</v>
      </c>
      <c r="F94" s="29">
        <f>$D:$D/$C:$C*100</f>
        <v>94.4963287388896</v>
      </c>
      <c r="G94" s="36">
        <v>620.5</v>
      </c>
      <c r="H94" s="29">
        <f>$D:$D/$G:$G*100</f>
        <v>141.86784850926674</v>
      </c>
      <c r="I94" s="36">
        <f t="shared" si="0"/>
        <v>880.29</v>
      </c>
    </row>
    <row r="95" spans="1:9" ht="12.75">
      <c r="A95" s="7" t="s">
        <v>36</v>
      </c>
      <c r="B95" s="35">
        <f>B97+B98+B99+B96</f>
        <v>477755.80864</v>
      </c>
      <c r="C95" s="28">
        <f>C97+C98+C99+C96</f>
        <v>1713.42</v>
      </c>
      <c r="D95" s="35">
        <f>D97+D98+D99+D96</f>
        <v>1626.4299999999998</v>
      </c>
      <c r="E95" s="35">
        <f>E98+E99+E96</f>
        <v>0.7856953886592561</v>
      </c>
      <c r="F95" s="26">
        <f>$D:$D/$C:$C*100</f>
        <v>94.92301945815969</v>
      </c>
      <c r="G95" s="35">
        <f>G97+G98+G99+G96</f>
        <v>2273.4</v>
      </c>
      <c r="H95" s="35">
        <f>H97+H98+H99</f>
        <v>176.05003108238222</v>
      </c>
      <c r="I95" s="35">
        <f t="shared" si="0"/>
        <v>1626.4299999999998</v>
      </c>
    </row>
    <row r="96" spans="1:9" ht="12.75">
      <c r="A96" s="8" t="s">
        <v>37</v>
      </c>
      <c r="B96" s="71">
        <f>35000000/1000</f>
        <v>35000</v>
      </c>
      <c r="C96" s="49">
        <v>0</v>
      </c>
      <c r="D96" s="49">
        <v>0</v>
      </c>
      <c r="E96" s="48">
        <v>0</v>
      </c>
      <c r="F96" s="29">
        <v>0</v>
      </c>
      <c r="G96" s="49">
        <v>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f>30675160/1000</f>
        <v>30675.16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f>290979247.99/1000</f>
        <v>290979.24799</v>
      </c>
      <c r="C98" s="28">
        <v>1156.09</v>
      </c>
      <c r="D98" s="28">
        <v>1156.09</v>
      </c>
      <c r="E98" s="29">
        <f>$D:$D/$B:$B*100</f>
        <v>0.39731012021851503</v>
      </c>
      <c r="F98" s="29">
        <f>$D:$D/$C:$C*100</f>
        <v>100</v>
      </c>
      <c r="G98" s="36">
        <v>1860.5</v>
      </c>
      <c r="H98" s="29">
        <f>$D:$D/$G:$G*100</f>
        <v>62.1386723998925</v>
      </c>
      <c r="I98" s="36">
        <f t="shared" si="0"/>
        <v>1156.09</v>
      </c>
    </row>
    <row r="99" spans="1:9" ht="12.75">
      <c r="A99" s="8" t="s">
        <v>40</v>
      </c>
      <c r="B99" s="36">
        <f>121101400.65/1000</f>
        <v>121101.40065000001</v>
      </c>
      <c r="C99" s="28">
        <v>557.33</v>
      </c>
      <c r="D99" s="28">
        <v>470.34</v>
      </c>
      <c r="E99" s="29">
        <f>$D:$D/$B:$B*100</f>
        <v>0.38838526844074117</v>
      </c>
      <c r="F99" s="29">
        <f>$D:$D/$C:$C*100</f>
        <v>84.39165306012595</v>
      </c>
      <c r="G99" s="36">
        <v>412.9</v>
      </c>
      <c r="H99" s="29">
        <f>$D:$D/$G:$G*100</f>
        <v>113.91135868248972</v>
      </c>
      <c r="I99" s="36">
        <f t="shared" si="0"/>
        <v>470.34</v>
      </c>
    </row>
    <row r="100" spans="1:9" ht="12.75">
      <c r="A100" s="11" t="s">
        <v>115</v>
      </c>
      <c r="B100" s="35">
        <f>B101</f>
        <v>1950.5</v>
      </c>
      <c r="C100" s="35">
        <f>C101</f>
        <v>0</v>
      </c>
      <c r="D100" s="35">
        <f>D101</f>
        <v>0</v>
      </c>
      <c r="E100" s="26">
        <f>$D:$D/$B:$B*100</f>
        <v>0</v>
      </c>
      <c r="F100" s="26"/>
      <c r="G100" s="35">
        <f>G101</f>
        <v>0</v>
      </c>
      <c r="H100" s="26">
        <v>0</v>
      </c>
      <c r="I100" s="35">
        <f t="shared" si="0"/>
        <v>0</v>
      </c>
    </row>
    <row r="101" spans="1:9" ht="25.5">
      <c r="A101" s="41" t="s">
        <v>143</v>
      </c>
      <c r="B101" s="36">
        <f>1950500/1000</f>
        <v>1950.5</v>
      </c>
      <c r="C101" s="36">
        <v>0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0"/>
        <v>0</v>
      </c>
    </row>
    <row r="102" spans="1:9" ht="12.75">
      <c r="A102" s="11" t="s">
        <v>41</v>
      </c>
      <c r="B102" s="35">
        <f>B103+B104+B106+B107+B108+B105</f>
        <v>1605135.2870000005</v>
      </c>
      <c r="C102" s="35">
        <f>C103+C104+C106+C107+C108+C105</f>
        <v>46018.09</v>
      </c>
      <c r="D102" s="35">
        <f>D103+D104+D106+D107+D108+D105</f>
        <v>45174.7</v>
      </c>
      <c r="E102" s="35">
        <f>E103+E104+E107+E108+E106</f>
        <v>9.278743350226094</v>
      </c>
      <c r="F102" s="35">
        <f>F103+F104+F107+F108+F106</f>
        <v>381.7816481251158</v>
      </c>
      <c r="G102" s="35">
        <f>G103+G104+G106+G107+G108+G105</f>
        <v>50437.9</v>
      </c>
      <c r="H102" s="35">
        <f>H103+H104+H107+H108+H106</f>
        <v>371.9499847418778</v>
      </c>
      <c r="I102" s="35">
        <f t="shared" si="0"/>
        <v>45174.7</v>
      </c>
    </row>
    <row r="103" spans="1:9" ht="12.75">
      <c r="A103" s="8" t="s">
        <v>42</v>
      </c>
      <c r="B103" s="36">
        <f>601601900/1000</f>
        <v>601601.9</v>
      </c>
      <c r="C103" s="28">
        <v>19160.43</v>
      </c>
      <c r="D103" s="28">
        <v>19160.43</v>
      </c>
      <c r="E103" s="29">
        <f aca="true" t="shared" si="1" ref="E103:E121">$D:$D/$B:$B*100</f>
        <v>3.1849018428964406</v>
      </c>
      <c r="F103" s="29">
        <f aca="true" t="shared" si="2" ref="F103:F111">$D:$D/$C:$C*100</f>
        <v>100</v>
      </c>
      <c r="G103" s="36">
        <v>21981.4</v>
      </c>
      <c r="H103" s="29">
        <f>$D:$D/$G:$G*100</f>
        <v>87.16655899988172</v>
      </c>
      <c r="I103" s="36">
        <f t="shared" si="0"/>
        <v>19160.43</v>
      </c>
    </row>
    <row r="104" spans="1:9" ht="12.75">
      <c r="A104" s="8" t="s">
        <v>43</v>
      </c>
      <c r="B104" s="36">
        <f>636730121/1000</f>
        <v>636730.121</v>
      </c>
      <c r="C104" s="28">
        <v>18659</v>
      </c>
      <c r="D104" s="28">
        <v>18625.82</v>
      </c>
      <c r="E104" s="29">
        <f t="shared" si="1"/>
        <v>2.9252299185638804</v>
      </c>
      <c r="F104" s="29">
        <f t="shared" si="2"/>
        <v>99.82217696553941</v>
      </c>
      <c r="G104" s="36">
        <v>20504.1</v>
      </c>
      <c r="H104" s="29">
        <f>$D:$D/$G:$G*100</f>
        <v>90.83949063845768</v>
      </c>
      <c r="I104" s="36">
        <f t="shared" si="0"/>
        <v>18625.82</v>
      </c>
    </row>
    <row r="105" spans="1:9" ht="12.75">
      <c r="A105" s="22" t="s">
        <v>105</v>
      </c>
      <c r="B105" s="36">
        <f>141129380/1000</f>
        <v>141129.38</v>
      </c>
      <c r="C105" s="28">
        <v>3197.11</v>
      </c>
      <c r="D105" s="28">
        <v>3197.11</v>
      </c>
      <c r="E105" s="29">
        <f t="shared" si="1"/>
        <v>2.2653752181154627</v>
      </c>
      <c r="F105" s="29">
        <f t="shared" si="2"/>
        <v>100</v>
      </c>
      <c r="G105" s="36">
        <v>3925.6</v>
      </c>
      <c r="H105" s="29">
        <f>$D:$D/$G:$G*100</f>
        <v>81.44258202567761</v>
      </c>
      <c r="I105" s="36">
        <f t="shared" si="0"/>
        <v>3197.11</v>
      </c>
    </row>
    <row r="106" spans="1:9" ht="25.5">
      <c r="A106" s="8" t="s">
        <v>123</v>
      </c>
      <c r="B106" s="36">
        <f>1704870/1000</f>
        <v>1704.87</v>
      </c>
      <c r="C106" s="28">
        <v>8</v>
      </c>
      <c r="D106" s="28">
        <v>0</v>
      </c>
      <c r="E106" s="29">
        <f t="shared" si="1"/>
        <v>0</v>
      </c>
      <c r="F106" s="29">
        <f t="shared" si="2"/>
        <v>0</v>
      </c>
      <c r="G106" s="36">
        <v>0</v>
      </c>
      <c r="H106" s="29">
        <v>0</v>
      </c>
      <c r="I106" s="36">
        <f t="shared" si="0"/>
        <v>0</v>
      </c>
    </row>
    <row r="107" spans="1:9" ht="12.75">
      <c r="A107" s="8" t="s">
        <v>44</v>
      </c>
      <c r="B107" s="36">
        <f>52293739/1000</f>
        <v>52293.739</v>
      </c>
      <c r="C107" s="28">
        <v>546.84</v>
      </c>
      <c r="D107" s="28">
        <v>546.84</v>
      </c>
      <c r="E107" s="29">
        <f t="shared" si="1"/>
        <v>1.0457083590829106</v>
      </c>
      <c r="F107" s="29">
        <f t="shared" si="2"/>
        <v>100</v>
      </c>
      <c r="G107" s="36">
        <v>631.4</v>
      </c>
      <c r="H107" s="29">
        <f>$D:$D/$G:$G*100</f>
        <v>86.60753880266077</v>
      </c>
      <c r="I107" s="36">
        <f t="shared" si="0"/>
        <v>546.84</v>
      </c>
    </row>
    <row r="108" spans="1:9" ht="12.75">
      <c r="A108" s="8" t="s">
        <v>45</v>
      </c>
      <c r="B108" s="36">
        <f>171675277/1000</f>
        <v>171675.277</v>
      </c>
      <c r="C108" s="28">
        <v>4446.71</v>
      </c>
      <c r="D108" s="28">
        <v>3644.5</v>
      </c>
      <c r="E108" s="29">
        <f t="shared" si="1"/>
        <v>2.122903229682862</v>
      </c>
      <c r="F108" s="29">
        <f t="shared" si="2"/>
        <v>81.9594711595764</v>
      </c>
      <c r="G108" s="28">
        <v>3395.4</v>
      </c>
      <c r="H108" s="29">
        <f>$D:$D/$G:$G*100</f>
        <v>107.33639630087765</v>
      </c>
      <c r="I108" s="36">
        <f t="shared" si="0"/>
        <v>3644.5</v>
      </c>
    </row>
    <row r="109" spans="1:9" ht="25.5">
      <c r="A109" s="11" t="s">
        <v>46</v>
      </c>
      <c r="B109" s="35">
        <f>B110+B111</f>
        <v>281596.454</v>
      </c>
      <c r="C109" s="35">
        <f>C110+C111</f>
        <v>3397</v>
      </c>
      <c r="D109" s="35">
        <f>D110+D111</f>
        <v>3397</v>
      </c>
      <c r="E109" s="26">
        <f t="shared" si="1"/>
        <v>1.2063362133104132</v>
      </c>
      <c r="F109" s="26">
        <f t="shared" si="2"/>
        <v>100</v>
      </c>
      <c r="G109" s="35">
        <f>G110+G111</f>
        <v>3121.8</v>
      </c>
      <c r="H109" s="26">
        <f>$D:$D/$G:$G*100</f>
        <v>108.81542699724518</v>
      </c>
      <c r="I109" s="35">
        <f t="shared" si="0"/>
        <v>3397</v>
      </c>
    </row>
    <row r="110" spans="1:9" ht="12.75">
      <c r="A110" s="8" t="s">
        <v>47</v>
      </c>
      <c r="B110" s="36">
        <f>196946894/1000</f>
        <v>196946.894</v>
      </c>
      <c r="C110" s="28">
        <v>3340</v>
      </c>
      <c r="D110" s="28">
        <v>3340</v>
      </c>
      <c r="E110" s="29">
        <f t="shared" si="1"/>
        <v>1.6958886388936907</v>
      </c>
      <c r="F110" s="29">
        <f t="shared" si="2"/>
        <v>100</v>
      </c>
      <c r="G110" s="36">
        <v>3045.8</v>
      </c>
      <c r="H110" s="29">
        <f>$D:$D/$G:$G*100</f>
        <v>109.65920283669315</v>
      </c>
      <c r="I110" s="36">
        <f t="shared" si="0"/>
        <v>3340</v>
      </c>
    </row>
    <row r="111" spans="1:9" ht="25.5">
      <c r="A111" s="8" t="s">
        <v>48</v>
      </c>
      <c r="B111" s="36">
        <f>84649560/1000</f>
        <v>84649.56</v>
      </c>
      <c r="C111" s="28">
        <v>57</v>
      </c>
      <c r="D111" s="28">
        <v>57</v>
      </c>
      <c r="E111" s="29">
        <f t="shared" si="1"/>
        <v>0.06733643978775554</v>
      </c>
      <c r="F111" s="29">
        <f t="shared" si="2"/>
        <v>100</v>
      </c>
      <c r="G111" s="36">
        <v>76</v>
      </c>
      <c r="H111" s="29">
        <v>0</v>
      </c>
      <c r="I111" s="36">
        <f t="shared" si="0"/>
        <v>57</v>
      </c>
    </row>
    <row r="112" spans="1:9" ht="12.75">
      <c r="A112" s="11" t="s">
        <v>97</v>
      </c>
      <c r="B112" s="35">
        <f>B113</f>
        <v>158.13</v>
      </c>
      <c r="C112" s="35">
        <f>C113</f>
        <v>0</v>
      </c>
      <c r="D112" s="35">
        <f>D113</f>
        <v>0</v>
      </c>
      <c r="E112" s="26">
        <f t="shared" si="1"/>
        <v>0</v>
      </c>
      <c r="F112" s="26">
        <v>0</v>
      </c>
      <c r="G112" s="35">
        <f>G113</f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f>158130/1000</f>
        <v>158.13</v>
      </c>
      <c r="C113" s="36">
        <v>0</v>
      </c>
      <c r="D113" s="36">
        <v>0</v>
      </c>
      <c r="E113" s="29">
        <f t="shared" si="1"/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B115+B116+B117+B118+B119</f>
        <v>176555.7547</v>
      </c>
      <c r="C114" s="35">
        <f>C115+C116+C117+C118+C119</f>
        <v>2196.13</v>
      </c>
      <c r="D114" s="35">
        <f>D115+D116+D117+D118+D119</f>
        <v>1872.3899999999999</v>
      </c>
      <c r="E114" s="26">
        <f t="shared" si="1"/>
        <v>1.0605091876962762</v>
      </c>
      <c r="F114" s="26">
        <f>$D:$D/$C:$C*100</f>
        <v>85.25861401647443</v>
      </c>
      <c r="G114" s="35">
        <f>G115+G116+G117+G118+G119</f>
        <v>1305.1</v>
      </c>
      <c r="H114" s="26">
        <v>0</v>
      </c>
      <c r="I114" s="36">
        <f t="shared" si="0"/>
        <v>1872.3899999999999</v>
      </c>
    </row>
    <row r="115" spans="1:9" ht="12.75">
      <c r="A115" s="8" t="s">
        <v>50</v>
      </c>
      <c r="B115" s="36">
        <f>2909750/1000</f>
        <v>2909.75</v>
      </c>
      <c r="C115" s="36">
        <v>0</v>
      </c>
      <c r="D115" s="36">
        <v>0</v>
      </c>
      <c r="E115" s="29">
        <f t="shared" si="1"/>
        <v>0</v>
      </c>
      <c r="F115" s="29">
        <v>0</v>
      </c>
      <c r="G115" s="36">
        <v>0</v>
      </c>
      <c r="H115" s="29">
        <v>0</v>
      </c>
      <c r="I115" s="36">
        <f t="shared" si="0"/>
        <v>0</v>
      </c>
    </row>
    <row r="116" spans="1:9" ht="12.75" customHeight="1" hidden="1">
      <c r="A116" s="8" t="s">
        <v>51</v>
      </c>
      <c r="B116" s="36"/>
      <c r="C116" s="36"/>
      <c r="D116" s="36"/>
      <c r="E116" s="29" t="e">
        <f t="shared" si="1"/>
        <v>#DIV/0!</v>
      </c>
      <c r="F116" s="29" t="e">
        <f>$D:$D/$C:$C*100</f>
        <v>#DIV/0!</v>
      </c>
      <c r="G116" s="36"/>
      <c r="H116" s="29" t="e">
        <f>$D:$D/$G:$G*100</f>
        <v>#DIV/0!</v>
      </c>
      <c r="I116" s="36">
        <f t="shared" si="0"/>
        <v>0</v>
      </c>
    </row>
    <row r="117" spans="1:9" ht="12.75">
      <c r="A117" s="8" t="s">
        <v>52</v>
      </c>
      <c r="B117" s="36">
        <f>87342751.7/1000</f>
        <v>87342.75170000001</v>
      </c>
      <c r="C117" s="28">
        <v>1587</v>
      </c>
      <c r="D117" s="28">
        <v>1587</v>
      </c>
      <c r="E117" s="29">
        <f t="shared" si="1"/>
        <v>1.8169796223628707</v>
      </c>
      <c r="F117" s="29">
        <f>$D:$D/$C:$C*100</f>
        <v>100</v>
      </c>
      <c r="G117" s="36">
        <v>950</v>
      </c>
      <c r="H117" s="29">
        <v>0</v>
      </c>
      <c r="I117" s="36">
        <f t="shared" si="0"/>
        <v>1587</v>
      </c>
    </row>
    <row r="118" spans="1:9" ht="12.75">
      <c r="A118" s="8" t="s">
        <v>53</v>
      </c>
      <c r="B118" s="28">
        <f>84166253/1000</f>
        <v>84166.253</v>
      </c>
      <c r="C118" s="28">
        <v>409.13</v>
      </c>
      <c r="D118" s="28">
        <v>255.39</v>
      </c>
      <c r="E118" s="29">
        <f t="shared" si="1"/>
        <v>0.3034351547050574</v>
      </c>
      <c r="F118" s="29">
        <v>0</v>
      </c>
      <c r="G118" s="28">
        <v>267.3</v>
      </c>
      <c r="H118" s="29">
        <v>0</v>
      </c>
      <c r="I118" s="36">
        <f t="shared" si="0"/>
        <v>255.39</v>
      </c>
    </row>
    <row r="119" spans="1:9" ht="12.75">
      <c r="A119" s="8" t="s">
        <v>54</v>
      </c>
      <c r="B119" s="36">
        <f>2137000/1000</f>
        <v>2137</v>
      </c>
      <c r="C119" s="28">
        <v>200</v>
      </c>
      <c r="D119" s="28">
        <v>30</v>
      </c>
      <c r="E119" s="29">
        <f t="shared" si="1"/>
        <v>1.4038371548900328</v>
      </c>
      <c r="F119" s="29">
        <f>$D:$D/$C:$C*100</f>
        <v>15</v>
      </c>
      <c r="G119" s="36">
        <v>87.8</v>
      </c>
      <c r="H119" s="29">
        <f>$D:$D/$G:$G*100</f>
        <v>34.16856492027335</v>
      </c>
      <c r="I119" s="36">
        <f t="shared" si="0"/>
        <v>30</v>
      </c>
    </row>
    <row r="120" spans="1:9" ht="12.75">
      <c r="A120" s="11" t="s">
        <v>61</v>
      </c>
      <c r="B120" s="27">
        <f>B121+B122+B123</f>
        <v>210722.454</v>
      </c>
      <c r="C120" s="28">
        <f>C121+C122+C123</f>
        <v>4051.71</v>
      </c>
      <c r="D120" s="28">
        <f>D121+D122+D123</f>
        <v>3852.2200000000003</v>
      </c>
      <c r="E120" s="26">
        <f t="shared" si="1"/>
        <v>1.8281013375062538</v>
      </c>
      <c r="F120" s="26">
        <f>$D:$D/$C:$C*100</f>
        <v>95.07639984105477</v>
      </c>
      <c r="G120" s="27">
        <f>G121+G122+G123</f>
        <v>3804.5</v>
      </c>
      <c r="H120" s="26">
        <f>$D:$D/$G:$G*100</f>
        <v>101.25430411354974</v>
      </c>
      <c r="I120" s="36">
        <f t="shared" si="0"/>
        <v>3852.2200000000003</v>
      </c>
    </row>
    <row r="121" spans="1:9" ht="12.75">
      <c r="A121" s="41" t="s">
        <v>62</v>
      </c>
      <c r="B121" s="28">
        <f>99648015.86/1000</f>
        <v>99648.01586</v>
      </c>
      <c r="C121" s="28">
        <v>3680.44</v>
      </c>
      <c r="D121" s="28">
        <v>3680.44</v>
      </c>
      <c r="E121" s="29">
        <f t="shared" si="1"/>
        <v>3.693440324161413</v>
      </c>
      <c r="F121" s="29">
        <f>$D:$D/$C:$C*100</f>
        <v>100</v>
      </c>
      <c r="G121" s="28">
        <v>3423.6</v>
      </c>
      <c r="H121" s="29">
        <v>0</v>
      </c>
      <c r="I121" s="36">
        <f t="shared" si="0"/>
        <v>3680.44</v>
      </c>
    </row>
    <row r="122" spans="1:9" ht="24.75" customHeight="1">
      <c r="A122" s="12" t="s">
        <v>63</v>
      </c>
      <c r="B122" s="28">
        <f>106942468.14/1000</f>
        <v>106942.46814</v>
      </c>
      <c r="C122" s="28">
        <v>91</v>
      </c>
      <c r="D122" s="28">
        <v>91</v>
      </c>
      <c r="E122" s="29">
        <v>0</v>
      </c>
      <c r="F122" s="29">
        <v>0</v>
      </c>
      <c r="G122" s="28">
        <v>135</v>
      </c>
      <c r="H122" s="29">
        <v>0</v>
      </c>
      <c r="I122" s="36">
        <f t="shared" si="0"/>
        <v>91</v>
      </c>
    </row>
    <row r="123" spans="1:9" ht="25.5">
      <c r="A123" s="12" t="s">
        <v>73</v>
      </c>
      <c r="B123" s="28">
        <f>4131970/1000</f>
        <v>4131.97</v>
      </c>
      <c r="C123" s="28">
        <v>280.27</v>
      </c>
      <c r="D123" s="28">
        <v>80.78</v>
      </c>
      <c r="E123" s="29">
        <f>$D:$D/$B:$B*100</f>
        <v>1.9549996732793316</v>
      </c>
      <c r="F123" s="29">
        <f>$D:$D/$C:$C*100</f>
        <v>28.822207157383957</v>
      </c>
      <c r="G123" s="28">
        <v>245.9</v>
      </c>
      <c r="H123" s="29">
        <v>0</v>
      </c>
      <c r="I123" s="36">
        <f t="shared" si="0"/>
        <v>80.78</v>
      </c>
    </row>
    <row r="124" spans="1:9" ht="26.25" customHeight="1">
      <c r="A124" s="13" t="s">
        <v>80</v>
      </c>
      <c r="B124" s="27">
        <f>B125</f>
        <v>100</v>
      </c>
      <c r="C124" s="27">
        <f>C125</f>
        <v>0</v>
      </c>
      <c r="D124" s="27">
        <f>D125</f>
        <v>0</v>
      </c>
      <c r="E124" s="29">
        <f>$D:$D/$B:$B*100</f>
        <v>0</v>
      </c>
      <c r="F124" s="29">
        <v>0</v>
      </c>
      <c r="G124" s="27">
        <f>G125</f>
        <v>0</v>
      </c>
      <c r="H124" s="29">
        <v>0</v>
      </c>
      <c r="I124" s="36">
        <f t="shared" si="0"/>
        <v>0</v>
      </c>
    </row>
    <row r="125" spans="1:9" ht="13.5" customHeight="1">
      <c r="A125" s="12" t="s">
        <v>81</v>
      </c>
      <c r="B125" s="28">
        <v>100</v>
      </c>
      <c r="C125" s="28">
        <v>0</v>
      </c>
      <c r="D125" s="28">
        <v>0</v>
      </c>
      <c r="E125" s="29">
        <f>$D:$D/$B:$B*100</f>
        <v>0</v>
      </c>
      <c r="F125" s="29">
        <v>0</v>
      </c>
      <c r="G125" s="28">
        <v>0</v>
      </c>
      <c r="H125" s="29">
        <v>0</v>
      </c>
      <c r="I125" s="36">
        <f t="shared" si="0"/>
        <v>0</v>
      </c>
    </row>
    <row r="126" spans="1:9" ht="15.75" customHeight="1">
      <c r="A126" s="14" t="s">
        <v>55</v>
      </c>
      <c r="B126" s="35">
        <f>B78+B87+B88+B89+B95+B102+B109+B112+B114+B120+B124+B100</f>
        <v>3184127.3692900003</v>
      </c>
      <c r="C126" s="35">
        <f>C78+C87+C88+C89+C95+C102+C109+C112+C114+C120+C124+C100</f>
        <v>65115.930109999994</v>
      </c>
      <c r="D126" s="35">
        <f>D78+D87+D88+D89+D95+D102+D109+D112+D114+D120+D124+D100</f>
        <v>60157.77</v>
      </c>
      <c r="E126" s="26">
        <f>$D:$D/$B:$B*100</f>
        <v>1.8893016209151843</v>
      </c>
      <c r="F126" s="26">
        <f>$D:$D/$C:$C*100</f>
        <v>92.38564188267878</v>
      </c>
      <c r="G126" s="35">
        <f>G78+G87+G88+G89+G95+G102+G109+G112+G114+G120+G124+G100</f>
        <v>65352.6</v>
      </c>
      <c r="H126" s="26">
        <f>$D:$D/$G:$G*100</f>
        <v>92.05107371397618</v>
      </c>
      <c r="I126" s="35">
        <f>I78+I87+I88+I89+I95+I102+I109+I112+I114+I120+I124</f>
        <v>60189.369999999995</v>
      </c>
    </row>
    <row r="127" spans="1:9" ht="26.25" customHeight="1">
      <c r="A127" s="15" t="s">
        <v>56</v>
      </c>
      <c r="B127" s="30">
        <f>B72-B126</f>
        <v>-74025.13252000045</v>
      </c>
      <c r="C127" s="30">
        <f>C72-C126</f>
        <v>20062.262039999994</v>
      </c>
      <c r="D127" s="30">
        <f>D72-D126</f>
        <v>640.2067800000077</v>
      </c>
      <c r="E127" s="30"/>
      <c r="F127" s="30"/>
      <c r="G127" s="30">
        <f>G72-G126</f>
        <v>6867.360000000008</v>
      </c>
      <c r="H127" s="30"/>
      <c r="I127" s="30">
        <f>I72-I126</f>
        <v>12030.590000000011</v>
      </c>
    </row>
    <row r="128" spans="1:9" ht="24" customHeight="1">
      <c r="A128" s="1" t="s">
        <v>57</v>
      </c>
      <c r="B128" s="28" t="s">
        <v>153</v>
      </c>
      <c r="C128" s="28"/>
      <c r="D128" s="28" t="s">
        <v>153</v>
      </c>
      <c r="E128" s="28"/>
      <c r="F128" s="28"/>
      <c r="G128" s="28" t="s">
        <v>148</v>
      </c>
      <c r="H128" s="27"/>
      <c r="I128" s="28"/>
    </row>
    <row r="129" spans="1:9" ht="12.75">
      <c r="A129" s="3" t="s">
        <v>58</v>
      </c>
      <c r="B129" s="43">
        <v>71063.33</v>
      </c>
      <c r="C129" s="27"/>
      <c r="D129" s="27" t="s">
        <v>149</v>
      </c>
      <c r="E129" s="28"/>
      <c r="F129" s="28"/>
      <c r="G129" s="27">
        <f>G131+G132</f>
        <v>29016</v>
      </c>
      <c r="H129" s="37"/>
      <c r="I129" s="27" t="e">
        <f>I131+I132</f>
        <v>#VALUE!</v>
      </c>
    </row>
    <row r="130" spans="1:9" ht="12" customHeight="1">
      <c r="A130" s="1" t="s">
        <v>6</v>
      </c>
      <c r="B130" s="44"/>
      <c r="C130" s="28"/>
      <c r="D130" s="28" t="s">
        <v>149</v>
      </c>
      <c r="E130" s="28"/>
      <c r="F130" s="28"/>
      <c r="G130" s="28"/>
      <c r="H130" s="37"/>
      <c r="I130" s="28"/>
    </row>
    <row r="131" spans="1:9" ht="12.75">
      <c r="A131" s="5" t="s">
        <v>59</v>
      </c>
      <c r="B131" s="44">
        <v>30548.4</v>
      </c>
      <c r="C131" s="28"/>
      <c r="D131" s="28" t="s">
        <v>149</v>
      </c>
      <c r="E131" s="28"/>
      <c r="F131" s="28"/>
      <c r="G131" s="28">
        <v>917</v>
      </c>
      <c r="H131" s="37"/>
      <c r="I131" s="28" t="str">
        <f>D131</f>
        <v>-</v>
      </c>
    </row>
    <row r="132" spans="1:9" ht="12.75">
      <c r="A132" s="1" t="s">
        <v>60</v>
      </c>
      <c r="B132" s="44">
        <v>40514.93</v>
      </c>
      <c r="C132" s="28"/>
      <c r="D132" s="28" t="s">
        <v>149</v>
      </c>
      <c r="E132" s="28"/>
      <c r="F132" s="28"/>
      <c r="G132" s="28">
        <f>29016-G131</f>
        <v>28099</v>
      </c>
      <c r="H132" s="37"/>
      <c r="I132" s="28" t="str">
        <f>D132</f>
        <v>-</v>
      </c>
    </row>
    <row r="133" spans="1:9" ht="12.75">
      <c r="A133" s="3" t="s">
        <v>99</v>
      </c>
      <c r="B133" s="43">
        <f>B134-B135</f>
        <v>64460</v>
      </c>
      <c r="C133" s="40"/>
      <c r="D133" s="40" t="s">
        <v>149</v>
      </c>
      <c r="E133" s="40"/>
      <c r="F133" s="40"/>
      <c r="G133" s="40">
        <v>0</v>
      </c>
      <c r="H133" s="42"/>
      <c r="I133" s="40"/>
    </row>
    <row r="134" spans="1:9" ht="12.75">
      <c r="A134" s="2" t="s">
        <v>100</v>
      </c>
      <c r="B134" s="44">
        <v>98076.83</v>
      </c>
      <c r="C134" s="38"/>
      <c r="D134" s="38" t="s">
        <v>149</v>
      </c>
      <c r="E134" s="38"/>
      <c r="F134" s="38"/>
      <c r="G134" s="38">
        <v>0</v>
      </c>
      <c r="H134" s="39"/>
      <c r="I134" s="38">
        <v>0</v>
      </c>
    </row>
    <row r="135" spans="1:9" ht="12.75">
      <c r="A135" s="2" t="s">
        <v>101</v>
      </c>
      <c r="B135" s="44">
        <v>33616.83</v>
      </c>
      <c r="C135" s="38"/>
      <c r="D135" s="38" t="s">
        <v>149</v>
      </c>
      <c r="E135" s="38"/>
      <c r="F135" s="38"/>
      <c r="G135" s="38">
        <v>0</v>
      </c>
      <c r="H135" s="39"/>
      <c r="I135" s="38"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137</v>
      </c>
      <c r="E141" s="24"/>
      <c r="F141" s="24"/>
      <c r="G141" s="24"/>
      <c r="H141" s="24"/>
      <c r="I141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102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141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142</v>
      </c>
      <c r="D4" s="18" t="s">
        <v>68</v>
      </c>
      <c r="E4" s="18" t="s">
        <v>66</v>
      </c>
      <c r="F4" s="18" t="s">
        <v>69</v>
      </c>
      <c r="G4" s="18" t="s">
        <v>136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1" t="s">
        <v>104</v>
      </c>
      <c r="B7" s="62">
        <f>B8+B15+B20+B24+B27+B31+B34+B43+B44+B45+B49</f>
        <v>442159.12999999995</v>
      </c>
      <c r="C7" s="62">
        <f>C8+C15+C20+C24+C27+C31+C34+C43+C44+C45+C49+C60</f>
        <v>155600.58000000002</v>
      </c>
      <c r="D7" s="62">
        <f>D8+D15+D20+D24+D27+D31+D34+D43+D44+D45+D49+D60</f>
        <v>154661.89</v>
      </c>
      <c r="E7" s="50">
        <f aca="true" t="shared" si="0" ref="E7:E30">$D:$D/$B:$B*100</f>
        <v>34.978784674196376</v>
      </c>
      <c r="F7" s="50">
        <f aca="true" t="shared" si="1" ref="F7:F29">$D:$D/$C:$C*100</f>
        <v>99.39673104046271</v>
      </c>
      <c r="G7" s="62">
        <f>G8+G15+G20+G24+G27+G31+G34+G43+G44+G45+G49+G60</f>
        <v>155699.99999999997</v>
      </c>
      <c r="H7" s="50">
        <f aca="true" t="shared" si="2" ref="H7:H28">$D:$D/$G:$G*100</f>
        <v>99.33326268465</v>
      </c>
      <c r="I7" s="62">
        <f>I8+I15+I20+I24+I27+I31+I34+I43+I44+I45+I49+I60</f>
        <v>24373.72</v>
      </c>
    </row>
    <row r="8" spans="1:9" ht="12.75">
      <c r="A8" s="52" t="s">
        <v>4</v>
      </c>
      <c r="B8" s="63">
        <f>B9+B10</f>
        <v>276033.23999999993</v>
      </c>
      <c r="C8" s="63">
        <f>C9+C10</f>
        <v>96839</v>
      </c>
      <c r="D8" s="63">
        <f>D9+D10</f>
        <v>99771.58</v>
      </c>
      <c r="E8" s="50">
        <f t="shared" si="0"/>
        <v>36.144770100876265</v>
      </c>
      <c r="F8" s="50">
        <f t="shared" si="1"/>
        <v>103.02830471194457</v>
      </c>
      <c r="G8" s="63">
        <f>G9+G10</f>
        <v>94000.92</v>
      </c>
      <c r="H8" s="50">
        <f t="shared" si="2"/>
        <v>106.13893991675826</v>
      </c>
      <c r="I8" s="63">
        <f>I9+I10</f>
        <v>17698.649999999998</v>
      </c>
    </row>
    <row r="9" spans="1:9" ht="25.5">
      <c r="A9" s="53" t="s">
        <v>5</v>
      </c>
      <c r="B9" s="61">
        <v>6017.6</v>
      </c>
      <c r="C9" s="61">
        <v>2599</v>
      </c>
      <c r="D9" s="61">
        <v>5598.77</v>
      </c>
      <c r="E9" s="50">
        <f t="shared" si="0"/>
        <v>93.03991624567935</v>
      </c>
      <c r="F9" s="50">
        <f t="shared" si="1"/>
        <v>215.42016160061564</v>
      </c>
      <c r="G9" s="61">
        <v>1085.12</v>
      </c>
      <c r="H9" s="50">
        <f t="shared" si="2"/>
        <v>515.9586036567385</v>
      </c>
      <c r="I9" s="61">
        <v>661.01</v>
      </c>
    </row>
    <row r="10" spans="1:9" ht="12.75" customHeight="1">
      <c r="A10" s="54" t="s">
        <v>70</v>
      </c>
      <c r="B10" s="65">
        <f>B11+B12+B13+B14</f>
        <v>270015.63999999996</v>
      </c>
      <c r="C10" s="65">
        <f>C11+C12+C13+C14</f>
        <v>94240</v>
      </c>
      <c r="D10" s="65">
        <f>D11+D12+D13+D14</f>
        <v>94172.81</v>
      </c>
      <c r="E10" s="55">
        <f t="shared" si="0"/>
        <v>34.87679824768669</v>
      </c>
      <c r="F10" s="50">
        <f t="shared" si="1"/>
        <v>99.9287033106961</v>
      </c>
      <c r="G10" s="65">
        <f>G11+G12+G13+G14</f>
        <v>92915.8</v>
      </c>
      <c r="H10" s="55">
        <f t="shared" si="2"/>
        <v>101.35284849293662</v>
      </c>
      <c r="I10" s="65">
        <f>I11+I12+I13+I14</f>
        <v>17037.64</v>
      </c>
    </row>
    <row r="11" spans="1:9" ht="12.75" customHeight="1">
      <c r="A11" s="56" t="s">
        <v>74</v>
      </c>
      <c r="B11" s="66">
        <v>258218.54</v>
      </c>
      <c r="C11" s="66">
        <v>92000</v>
      </c>
      <c r="D11" s="66">
        <v>91807.69</v>
      </c>
      <c r="E11" s="50">
        <f t="shared" si="0"/>
        <v>35.554259581825534</v>
      </c>
      <c r="F11" s="50">
        <f t="shared" si="1"/>
        <v>99.79096739130435</v>
      </c>
      <c r="G11" s="66">
        <v>90455.84999999999</v>
      </c>
      <c r="H11" s="50">
        <f t="shared" si="2"/>
        <v>101.49447492892942</v>
      </c>
      <c r="I11" s="66">
        <v>16542.63</v>
      </c>
    </row>
    <row r="12" spans="1:9" ht="12.75" customHeight="1">
      <c r="A12" s="56" t="s">
        <v>75</v>
      </c>
      <c r="B12" s="66">
        <v>4039.82</v>
      </c>
      <c r="C12" s="66">
        <v>210</v>
      </c>
      <c r="D12" s="66">
        <v>473.37</v>
      </c>
      <c r="E12" s="50">
        <f t="shared" si="0"/>
        <v>11.717601279264917</v>
      </c>
      <c r="F12" s="50">
        <f t="shared" si="1"/>
        <v>225.4142857142857</v>
      </c>
      <c r="G12" s="66">
        <v>257.14000000000004</v>
      </c>
      <c r="H12" s="50">
        <f t="shared" si="2"/>
        <v>184.09037878198643</v>
      </c>
      <c r="I12" s="66">
        <v>185.54</v>
      </c>
    </row>
    <row r="13" spans="1:9" ht="12.75" customHeight="1">
      <c r="A13" s="56" t="s">
        <v>76</v>
      </c>
      <c r="B13" s="66">
        <v>4853.42</v>
      </c>
      <c r="C13" s="66">
        <v>930</v>
      </c>
      <c r="D13" s="66">
        <v>345.40000000000003</v>
      </c>
      <c r="E13" s="50">
        <f t="shared" si="0"/>
        <v>7.116631159058974</v>
      </c>
      <c r="F13" s="50">
        <f t="shared" si="1"/>
        <v>37.13978494623657</v>
      </c>
      <c r="G13" s="66">
        <v>876.32</v>
      </c>
      <c r="H13" s="50">
        <f t="shared" si="2"/>
        <v>39.41482563447143</v>
      </c>
      <c r="I13" s="66">
        <v>-0.45</v>
      </c>
    </row>
    <row r="14" spans="1:9" ht="12.75" customHeight="1">
      <c r="A14" s="57" t="s">
        <v>78</v>
      </c>
      <c r="B14" s="66">
        <v>2903.86</v>
      </c>
      <c r="C14" s="66">
        <v>1100</v>
      </c>
      <c r="D14" s="66">
        <v>1546.35</v>
      </c>
      <c r="E14" s="50">
        <f t="shared" si="0"/>
        <v>53.25153416487021</v>
      </c>
      <c r="F14" s="50">
        <f t="shared" si="1"/>
        <v>140.5772727272727</v>
      </c>
      <c r="G14" s="66">
        <v>1326.49</v>
      </c>
      <c r="H14" s="50">
        <f t="shared" si="2"/>
        <v>116.57456897526555</v>
      </c>
      <c r="I14" s="66">
        <v>309.92</v>
      </c>
    </row>
    <row r="15" spans="1:9" ht="12.75" customHeight="1">
      <c r="A15" s="58" t="s">
        <v>82</v>
      </c>
      <c r="B15" s="62">
        <f>B16+B17+B18+B19</f>
        <v>23712</v>
      </c>
      <c r="C15" s="62">
        <f>C16+C17+C18+C19</f>
        <v>9276.46</v>
      </c>
      <c r="D15" s="62">
        <f>D16+D17+D18+D19</f>
        <v>8218.18</v>
      </c>
      <c r="E15" s="50">
        <f t="shared" si="0"/>
        <v>34.65831646423752</v>
      </c>
      <c r="F15" s="50">
        <f t="shared" si="1"/>
        <v>88.59176884285601</v>
      </c>
      <c r="G15" s="62">
        <f>G16+G17+G18+G19</f>
        <v>9224.9</v>
      </c>
      <c r="H15" s="50">
        <f t="shared" si="2"/>
        <v>89.08692777157476</v>
      </c>
      <c r="I15" s="62">
        <f>I16+I17+I18+I19</f>
        <v>1260.3600000000001</v>
      </c>
    </row>
    <row r="16" spans="1:9" ht="12.75" customHeight="1">
      <c r="A16" s="39" t="s">
        <v>83</v>
      </c>
      <c r="B16" s="66">
        <v>10865.8</v>
      </c>
      <c r="C16" s="73">
        <v>4167.41</v>
      </c>
      <c r="D16" s="73">
        <v>3865.11</v>
      </c>
      <c r="E16" s="50">
        <f t="shared" si="0"/>
        <v>35.57133391006645</v>
      </c>
      <c r="F16" s="50">
        <f t="shared" si="1"/>
        <v>92.74609409681314</v>
      </c>
      <c r="G16" s="66">
        <v>4167.41</v>
      </c>
      <c r="H16" s="50">
        <f t="shared" si="2"/>
        <v>92.74609409681314</v>
      </c>
      <c r="I16" s="74">
        <v>679.25</v>
      </c>
    </row>
    <row r="17" spans="1:9" ht="12.75" customHeight="1">
      <c r="A17" s="39" t="s">
        <v>84</v>
      </c>
      <c r="B17" s="66">
        <v>56</v>
      </c>
      <c r="C17" s="73">
        <v>25</v>
      </c>
      <c r="D17" s="73">
        <v>24.62</v>
      </c>
      <c r="E17" s="50">
        <f t="shared" si="0"/>
        <v>43.964285714285715</v>
      </c>
      <c r="F17" s="50">
        <f t="shared" si="1"/>
        <v>98.48</v>
      </c>
      <c r="G17" s="66">
        <v>31.309999999999995</v>
      </c>
      <c r="H17" s="50">
        <f t="shared" si="2"/>
        <v>78.63302459278188</v>
      </c>
      <c r="I17" s="74">
        <v>5.5</v>
      </c>
    </row>
    <row r="18" spans="1:9" ht="51">
      <c r="A18" s="39" t="s">
        <v>85</v>
      </c>
      <c r="B18" s="66">
        <v>14192.6</v>
      </c>
      <c r="C18" s="73">
        <v>5784.05</v>
      </c>
      <c r="D18" s="73">
        <v>5138.2699999999995</v>
      </c>
      <c r="E18" s="50">
        <f t="shared" si="0"/>
        <v>36.203866803827346</v>
      </c>
      <c r="F18" s="50">
        <f t="shared" si="1"/>
        <v>88.83515875554325</v>
      </c>
      <c r="G18" s="66">
        <v>5784.05</v>
      </c>
      <c r="H18" s="50">
        <f t="shared" si="2"/>
        <v>88.83515875554325</v>
      </c>
      <c r="I18" s="74">
        <v>757.7</v>
      </c>
    </row>
    <row r="19" spans="1:9" ht="51" customHeight="1">
      <c r="A19" s="39" t="s">
        <v>86</v>
      </c>
      <c r="B19" s="66">
        <v>-1402.4</v>
      </c>
      <c r="C19" s="73">
        <v>-700</v>
      </c>
      <c r="D19" s="73">
        <v>-809.82</v>
      </c>
      <c r="E19" s="50">
        <f t="shared" si="0"/>
        <v>57.74529378208785</v>
      </c>
      <c r="F19" s="50">
        <f t="shared" si="1"/>
        <v>115.68857142857144</v>
      </c>
      <c r="G19" s="66">
        <v>-757.87</v>
      </c>
      <c r="H19" s="50">
        <f t="shared" si="2"/>
        <v>106.85473761990842</v>
      </c>
      <c r="I19" s="74">
        <v>-182.09</v>
      </c>
    </row>
    <row r="20" spans="1:9" ht="12.75">
      <c r="A20" s="59" t="s">
        <v>7</v>
      </c>
      <c r="B20" s="62">
        <f>B21+B22+B23</f>
        <v>34616.2</v>
      </c>
      <c r="C20" s="62">
        <f>C21+C22+C23</f>
        <v>15612.05</v>
      </c>
      <c r="D20" s="62">
        <f>D21+D22+D23</f>
        <v>15310.310000000001</v>
      </c>
      <c r="E20" s="50">
        <f t="shared" si="0"/>
        <v>44.2287426118407</v>
      </c>
      <c r="F20" s="50">
        <f t="shared" si="1"/>
        <v>98.06726214686734</v>
      </c>
      <c r="G20" s="62">
        <f>G21+G22+G23</f>
        <v>15654.31</v>
      </c>
      <c r="H20" s="50">
        <f t="shared" si="2"/>
        <v>97.80252211691223</v>
      </c>
      <c r="I20" s="62">
        <f>I21+I22+I23</f>
        <v>1215.54</v>
      </c>
    </row>
    <row r="21" spans="1:9" ht="12.75">
      <c r="A21" s="56" t="s">
        <v>89</v>
      </c>
      <c r="B21" s="66">
        <v>32762</v>
      </c>
      <c r="C21" s="66">
        <v>14665.49</v>
      </c>
      <c r="D21" s="66">
        <v>14500.87</v>
      </c>
      <c r="E21" s="50">
        <f t="shared" si="0"/>
        <v>44.26124778707039</v>
      </c>
      <c r="F21" s="50">
        <f t="shared" si="1"/>
        <v>98.87750085404579</v>
      </c>
      <c r="G21" s="66">
        <v>14665.83</v>
      </c>
      <c r="H21" s="50">
        <f t="shared" si="2"/>
        <v>98.87520856303395</v>
      </c>
      <c r="I21" s="66">
        <v>776.63</v>
      </c>
    </row>
    <row r="22" spans="1:9" ht="15" customHeight="1">
      <c r="A22" s="56" t="s">
        <v>87</v>
      </c>
      <c r="B22" s="66">
        <v>895.2</v>
      </c>
      <c r="C22" s="66">
        <v>750</v>
      </c>
      <c r="D22" s="66">
        <v>552.66</v>
      </c>
      <c r="E22" s="50">
        <f t="shared" si="0"/>
        <v>61.73592493297586</v>
      </c>
      <c r="F22" s="50">
        <f t="shared" si="1"/>
        <v>73.688</v>
      </c>
      <c r="G22" s="66">
        <v>791.92</v>
      </c>
      <c r="H22" s="50">
        <f t="shared" si="2"/>
        <v>69.78735225780382</v>
      </c>
      <c r="I22" s="66">
        <v>427.49</v>
      </c>
    </row>
    <row r="23" spans="1:9" ht="28.5" customHeight="1">
      <c r="A23" s="56" t="s">
        <v>88</v>
      </c>
      <c r="B23" s="66">
        <v>959</v>
      </c>
      <c r="C23" s="66">
        <v>196.56</v>
      </c>
      <c r="D23" s="66">
        <v>256.78000000000003</v>
      </c>
      <c r="E23" s="50">
        <f t="shared" si="0"/>
        <v>26.775808133472367</v>
      </c>
      <c r="F23" s="50">
        <f t="shared" si="1"/>
        <v>130.63695563695566</v>
      </c>
      <c r="G23" s="66">
        <v>196.56</v>
      </c>
      <c r="H23" s="50">
        <f t="shared" si="2"/>
        <v>130.63695563695566</v>
      </c>
      <c r="I23" s="66">
        <v>11.42</v>
      </c>
    </row>
    <row r="24" spans="1:9" ht="15.75" customHeight="1">
      <c r="A24" s="59" t="s">
        <v>8</v>
      </c>
      <c r="B24" s="62">
        <f>SUM(B25:B26)</f>
        <v>36295.600000000006</v>
      </c>
      <c r="C24" s="62">
        <f>SUM(C25:C26)</f>
        <v>7002.26</v>
      </c>
      <c r="D24" s="62">
        <f>SUM(D25:D26)</f>
        <v>6411.37</v>
      </c>
      <c r="E24" s="50">
        <f t="shared" si="0"/>
        <v>17.664317437926357</v>
      </c>
      <c r="F24" s="50">
        <f t="shared" si="1"/>
        <v>91.56143873549397</v>
      </c>
      <c r="G24" s="62">
        <f>SUM(G25:G26)</f>
        <v>6713.71</v>
      </c>
      <c r="H24" s="50">
        <f t="shared" si="2"/>
        <v>95.49667769385333</v>
      </c>
      <c r="I24" s="62">
        <f>SUM(I25:I26)</f>
        <v>674.61</v>
      </c>
    </row>
    <row r="25" spans="1:9" ht="16.5" customHeight="1">
      <c r="A25" s="56" t="s">
        <v>106</v>
      </c>
      <c r="B25" s="66">
        <v>18923.7</v>
      </c>
      <c r="C25" s="66">
        <v>1900</v>
      </c>
      <c r="D25" s="66">
        <v>1890.08</v>
      </c>
      <c r="E25" s="50">
        <f t="shared" si="0"/>
        <v>9.987898772438793</v>
      </c>
      <c r="F25" s="50">
        <f t="shared" si="1"/>
        <v>99.4778947368421</v>
      </c>
      <c r="G25" s="66">
        <v>1611.45</v>
      </c>
      <c r="H25" s="50">
        <f t="shared" si="2"/>
        <v>117.29063886561792</v>
      </c>
      <c r="I25" s="66">
        <v>295.6</v>
      </c>
    </row>
    <row r="26" spans="1:9" ht="15.75" customHeight="1">
      <c r="A26" s="56" t="s">
        <v>107</v>
      </c>
      <c r="B26" s="66">
        <v>17371.9</v>
      </c>
      <c r="C26" s="66">
        <v>5102.26</v>
      </c>
      <c r="D26" s="66">
        <v>4521.29</v>
      </c>
      <c r="E26" s="50">
        <f t="shared" si="0"/>
        <v>26.02645651886092</v>
      </c>
      <c r="F26" s="50">
        <f t="shared" si="1"/>
        <v>88.61347716502098</v>
      </c>
      <c r="G26" s="66">
        <v>5102.26</v>
      </c>
      <c r="H26" s="50">
        <f t="shared" si="2"/>
        <v>88.61347716502098</v>
      </c>
      <c r="I26" s="66">
        <v>379.01</v>
      </c>
    </row>
    <row r="27" spans="1:9" ht="13.5" customHeight="1">
      <c r="A27" s="52" t="s">
        <v>9</v>
      </c>
      <c r="B27" s="62">
        <f>B28+B29+B30</f>
        <v>14814.9</v>
      </c>
      <c r="C27" s="62">
        <f>C28+C29+C30</f>
        <v>4844.2</v>
      </c>
      <c r="D27" s="62">
        <f>D28+D29+D30</f>
        <v>5109.990000000001</v>
      </c>
      <c r="E27" s="50">
        <f t="shared" si="0"/>
        <v>34.49223416965353</v>
      </c>
      <c r="F27" s="50">
        <f t="shared" si="1"/>
        <v>105.48676768093806</v>
      </c>
      <c r="G27" s="62">
        <f>G28+G29+G30</f>
        <v>5753.68</v>
      </c>
      <c r="H27" s="50">
        <f t="shared" si="2"/>
        <v>88.81255127153406</v>
      </c>
      <c r="I27" s="62">
        <f>I28+I29+I30</f>
        <v>857.5</v>
      </c>
    </row>
    <row r="28" spans="1:9" ht="25.5">
      <c r="A28" s="56" t="s">
        <v>10</v>
      </c>
      <c r="B28" s="66">
        <v>14680.1</v>
      </c>
      <c r="C28" s="66">
        <v>4800</v>
      </c>
      <c r="D28" s="66">
        <v>5072.39</v>
      </c>
      <c r="E28" s="50">
        <f t="shared" si="0"/>
        <v>34.55283002159386</v>
      </c>
      <c r="F28" s="50">
        <f t="shared" si="1"/>
        <v>105.67479166666666</v>
      </c>
      <c r="G28" s="66">
        <v>5722.68</v>
      </c>
      <c r="H28" s="50">
        <f t="shared" si="2"/>
        <v>88.6366178084394</v>
      </c>
      <c r="I28" s="66">
        <v>852.7</v>
      </c>
    </row>
    <row r="29" spans="1:9" ht="18.75" customHeight="1">
      <c r="A29" s="56" t="s">
        <v>91</v>
      </c>
      <c r="B29" s="66">
        <v>84.8</v>
      </c>
      <c r="C29" s="66">
        <v>29.2</v>
      </c>
      <c r="D29" s="66">
        <v>17.6</v>
      </c>
      <c r="E29" s="50">
        <f t="shared" si="0"/>
        <v>20.75471698113208</v>
      </c>
      <c r="F29" s="50">
        <f t="shared" si="1"/>
        <v>60.27397260273973</v>
      </c>
      <c r="G29" s="66">
        <v>16</v>
      </c>
      <c r="H29" s="50" t="s">
        <v>111</v>
      </c>
      <c r="I29" s="66">
        <v>4.8</v>
      </c>
    </row>
    <row r="30" spans="1:9" ht="26.25" customHeight="1">
      <c r="A30" s="56" t="s">
        <v>90</v>
      </c>
      <c r="B30" s="66">
        <v>50</v>
      </c>
      <c r="C30" s="66">
        <v>15</v>
      </c>
      <c r="D30" s="66">
        <v>20</v>
      </c>
      <c r="E30" s="50">
        <f t="shared" si="0"/>
        <v>40</v>
      </c>
      <c r="F30" s="50" t="s">
        <v>111</v>
      </c>
      <c r="G30" s="66">
        <v>15</v>
      </c>
      <c r="H30" s="50" t="s">
        <v>111</v>
      </c>
      <c r="I30" s="66">
        <v>0</v>
      </c>
    </row>
    <row r="31" spans="1:9" ht="15.75" customHeight="1">
      <c r="A31" s="59" t="s">
        <v>11</v>
      </c>
      <c r="B31" s="62">
        <f>B32+B33</f>
        <v>0</v>
      </c>
      <c r="C31" s="62">
        <f>C32+C33</f>
        <v>0</v>
      </c>
      <c r="D31" s="62">
        <f>D32+D33</f>
        <v>0.07</v>
      </c>
      <c r="E31" s="50" t="s">
        <v>111</v>
      </c>
      <c r="F31" s="50" t="s">
        <v>111</v>
      </c>
      <c r="G31" s="62">
        <f>G32+G33</f>
        <v>0.17</v>
      </c>
      <c r="H31" s="50" t="s">
        <v>111</v>
      </c>
      <c r="I31" s="62">
        <f>I32+I33</f>
        <v>0</v>
      </c>
    </row>
    <row r="32" spans="1:9" ht="25.5">
      <c r="A32" s="56" t="s">
        <v>116</v>
      </c>
      <c r="B32" s="66">
        <v>0</v>
      </c>
      <c r="C32" s="66">
        <v>0</v>
      </c>
      <c r="D32" s="66">
        <v>0</v>
      </c>
      <c r="E32" s="50" t="s">
        <v>111</v>
      </c>
      <c r="F32" s="50" t="s">
        <v>111</v>
      </c>
      <c r="G32" s="66">
        <v>0</v>
      </c>
      <c r="H32" s="50" t="s">
        <v>111</v>
      </c>
      <c r="I32" s="66">
        <v>0</v>
      </c>
    </row>
    <row r="33" spans="1:9" ht="25.5">
      <c r="A33" s="56" t="s">
        <v>92</v>
      </c>
      <c r="B33" s="66">
        <v>0</v>
      </c>
      <c r="C33" s="66">
        <v>0</v>
      </c>
      <c r="D33" s="66">
        <v>0.07</v>
      </c>
      <c r="E33" s="50" t="s">
        <v>111</v>
      </c>
      <c r="F33" s="50" t="s">
        <v>111</v>
      </c>
      <c r="G33" s="66">
        <v>0.17</v>
      </c>
      <c r="H33" s="50" t="s">
        <v>111</v>
      </c>
      <c r="I33" s="66">
        <v>0</v>
      </c>
    </row>
    <row r="34" spans="1:9" ht="38.25">
      <c r="A34" s="59" t="s">
        <v>12</v>
      </c>
      <c r="B34" s="62">
        <f>B35+B37+B38+B39+B41+B42+B36</f>
        <v>50872.7</v>
      </c>
      <c r="C34" s="64">
        <f>SUM(C35:C42)</f>
        <v>19138.39</v>
      </c>
      <c r="D34" s="64">
        <f>SUM(D35:D42)</f>
        <v>15677.65</v>
      </c>
      <c r="E34" s="50">
        <f>$D:$D/$B:$B*100</f>
        <v>30.817412875668087</v>
      </c>
      <c r="F34" s="50">
        <f aca="true" t="shared" si="3" ref="F34:F40">$D:$D/$C:$C*100</f>
        <v>81.9172877133343</v>
      </c>
      <c r="G34" s="64">
        <f>SUM(G35:G42)</f>
        <v>16642.579999999998</v>
      </c>
      <c r="H34" s="50">
        <f>$D:$D/$G:$G*100</f>
        <v>94.20204078934877</v>
      </c>
      <c r="I34" s="64">
        <f>SUM(I35:I42)</f>
        <v>1873.43</v>
      </c>
    </row>
    <row r="35" spans="1:9" ht="76.5" hidden="1">
      <c r="A35" s="56" t="s">
        <v>114</v>
      </c>
      <c r="B35" s="66"/>
      <c r="C35" s="66"/>
      <c r="D35" s="66"/>
      <c r="E35" s="50" t="s">
        <v>112</v>
      </c>
      <c r="F35" s="50" t="e">
        <f t="shared" si="3"/>
        <v>#DIV/0!</v>
      </c>
      <c r="G35" s="66"/>
      <c r="H35" s="50" t="e">
        <f>$D:$D/$G:$G*100</f>
        <v>#DIV/0!</v>
      </c>
      <c r="I35" s="66"/>
    </row>
    <row r="36" spans="1:9" ht="76.5">
      <c r="A36" s="56" t="s">
        <v>117</v>
      </c>
      <c r="B36" s="66">
        <v>26368</v>
      </c>
      <c r="C36" s="66">
        <v>8500</v>
      </c>
      <c r="D36" s="66">
        <v>8460.16</v>
      </c>
      <c r="E36" s="50">
        <f>$D:$D/$B:$B*100</f>
        <v>32.08495145631068</v>
      </c>
      <c r="F36" s="50">
        <f t="shared" si="3"/>
        <v>99.53129411764706</v>
      </c>
      <c r="G36" s="66">
        <v>8491.4</v>
      </c>
      <c r="H36" s="50">
        <f>$D:$D/$G:$G*100</f>
        <v>99.63209835833902</v>
      </c>
      <c r="I36" s="66">
        <v>895.23</v>
      </c>
    </row>
    <row r="37" spans="1:9" ht="76.5">
      <c r="A37" s="56" t="s">
        <v>125</v>
      </c>
      <c r="B37" s="66">
        <v>628</v>
      </c>
      <c r="C37" s="66">
        <v>261.49</v>
      </c>
      <c r="D37" s="66">
        <v>379.84</v>
      </c>
      <c r="E37" s="50">
        <f>$D:$D/$B:$B*100</f>
        <v>60.48407643312102</v>
      </c>
      <c r="F37" s="50">
        <f t="shared" si="3"/>
        <v>145.25985697349802</v>
      </c>
      <c r="G37" s="66">
        <v>0.14</v>
      </c>
      <c r="H37" s="50" t="s">
        <v>111</v>
      </c>
      <c r="I37" s="66">
        <v>77.81</v>
      </c>
    </row>
    <row r="38" spans="1:9" ht="76.5">
      <c r="A38" s="56" t="s">
        <v>118</v>
      </c>
      <c r="B38" s="66">
        <v>530.18</v>
      </c>
      <c r="C38" s="66">
        <v>220.9</v>
      </c>
      <c r="D38" s="66">
        <v>118.88999999999999</v>
      </c>
      <c r="E38" s="50">
        <f>$D:$D/$B:$B*100</f>
        <v>22.4244596174884</v>
      </c>
      <c r="F38" s="50">
        <f t="shared" si="3"/>
        <v>53.82073336351289</v>
      </c>
      <c r="G38" s="66">
        <v>124.07</v>
      </c>
      <c r="H38" s="50">
        <f>$D:$D/$G:$G*100</f>
        <v>95.82493753526235</v>
      </c>
      <c r="I38" s="66">
        <v>27.13</v>
      </c>
    </row>
    <row r="39" spans="1:9" ht="38.25">
      <c r="A39" s="56" t="s">
        <v>119</v>
      </c>
      <c r="B39" s="66">
        <v>19213.07</v>
      </c>
      <c r="C39" s="66">
        <v>8000</v>
      </c>
      <c r="D39" s="66">
        <v>4693.74</v>
      </c>
      <c r="E39" s="50">
        <f>$D:$D/$B:$B*100</f>
        <v>24.42993233252156</v>
      </c>
      <c r="F39" s="50">
        <f t="shared" si="3"/>
        <v>58.67175</v>
      </c>
      <c r="G39" s="66">
        <v>6230.32</v>
      </c>
      <c r="H39" s="50">
        <f>$D:$D/$G:$G*100</f>
        <v>75.33706133874344</v>
      </c>
      <c r="I39" s="66">
        <v>381.77</v>
      </c>
    </row>
    <row r="40" spans="1:9" ht="51">
      <c r="A40" s="56" t="s">
        <v>138</v>
      </c>
      <c r="B40" s="66"/>
      <c r="C40" s="66">
        <v>0</v>
      </c>
      <c r="D40" s="66">
        <v>7.01</v>
      </c>
      <c r="E40" s="50"/>
      <c r="F40" s="50" t="e">
        <f t="shared" si="3"/>
        <v>#DIV/0!</v>
      </c>
      <c r="G40" s="66"/>
      <c r="H40" s="50"/>
      <c r="I40" s="66">
        <v>0</v>
      </c>
    </row>
    <row r="41" spans="1:9" ht="51">
      <c r="A41" s="56" t="s">
        <v>120</v>
      </c>
      <c r="B41" s="66">
        <v>691</v>
      </c>
      <c r="C41" s="66">
        <v>691</v>
      </c>
      <c r="D41" s="66">
        <v>445.23</v>
      </c>
      <c r="E41" s="50">
        <f>$D:$D/$B:$B*100</f>
        <v>64.4327062228654</v>
      </c>
      <c r="F41" s="50" t="s">
        <v>111</v>
      </c>
      <c r="G41" s="66">
        <v>690.92</v>
      </c>
      <c r="H41" s="50" t="s">
        <v>111</v>
      </c>
      <c r="I41" s="66">
        <v>341.58</v>
      </c>
    </row>
    <row r="42" spans="1:9" ht="76.5">
      <c r="A42" s="60" t="s">
        <v>121</v>
      </c>
      <c r="B42" s="66">
        <v>3442.45</v>
      </c>
      <c r="C42" s="66">
        <v>1465</v>
      </c>
      <c r="D42" s="66">
        <v>1572.78</v>
      </c>
      <c r="E42" s="50">
        <f>$D:$D/$B:$B*100</f>
        <v>45.687809554241895</v>
      </c>
      <c r="F42" s="50">
        <f>$D:$D/$C:$C*100</f>
        <v>107.35699658703071</v>
      </c>
      <c r="G42" s="66">
        <v>1105.73</v>
      </c>
      <c r="H42" s="50">
        <f>$D:$D/$G:$G*100</f>
        <v>142.23906378591516</v>
      </c>
      <c r="I42" s="66">
        <v>149.91</v>
      </c>
    </row>
    <row r="43" spans="1:9" ht="29.25" customHeight="1">
      <c r="A43" s="53" t="s">
        <v>13</v>
      </c>
      <c r="B43" s="61">
        <v>515</v>
      </c>
      <c r="C43" s="61">
        <v>342.01</v>
      </c>
      <c r="D43" s="61">
        <v>160.64</v>
      </c>
      <c r="E43" s="50">
        <f>$D:$D/$B:$B*100</f>
        <v>31.192233009708737</v>
      </c>
      <c r="F43" s="50">
        <f>$D:$D/$C:$C*100</f>
        <v>46.96938686003333</v>
      </c>
      <c r="G43" s="61">
        <v>312.04</v>
      </c>
      <c r="H43" s="50">
        <f>$D:$D/$G:$G*100</f>
        <v>51.48057941289578</v>
      </c>
      <c r="I43" s="61">
        <v>-4.66</v>
      </c>
    </row>
    <row r="44" spans="1:9" ht="27" customHeight="1">
      <c r="A44" s="53" t="s">
        <v>96</v>
      </c>
      <c r="B44" s="61">
        <v>1829.19</v>
      </c>
      <c r="C44" s="61">
        <v>714.95</v>
      </c>
      <c r="D44" s="61">
        <v>1413.82</v>
      </c>
      <c r="E44" s="50">
        <f>$D:$D/$B:$B*100</f>
        <v>77.29213477003482</v>
      </c>
      <c r="F44" s="50">
        <f>$D:$D/$C:$C*100</f>
        <v>197.75089167074617</v>
      </c>
      <c r="G44" s="61">
        <v>1138.91</v>
      </c>
      <c r="H44" s="50">
        <f>$D:$D/$G:$G*100</f>
        <v>124.13799158844859</v>
      </c>
      <c r="I44" s="61">
        <v>123.99</v>
      </c>
    </row>
    <row r="45" spans="1:9" ht="25.5">
      <c r="A45" s="59" t="s">
        <v>14</v>
      </c>
      <c r="B45" s="62">
        <f>B46+B47+B48</f>
        <v>1497.5</v>
      </c>
      <c r="C45" s="62">
        <f>C46+C47+C48</f>
        <v>501</v>
      </c>
      <c r="D45" s="62">
        <f>D46+D47+D48</f>
        <v>1349.99</v>
      </c>
      <c r="E45" s="50">
        <f>$D:$D/$B:$B*100</f>
        <v>90.14958263772955</v>
      </c>
      <c r="F45" s="50">
        <f>$D:$D/$C:$C*100</f>
        <v>269.45908183632736</v>
      </c>
      <c r="G45" s="62">
        <f>G46+G47+G48</f>
        <v>1097.99</v>
      </c>
      <c r="H45" s="50">
        <f>$D:$D/$G:$G*100</f>
        <v>122.95102869789343</v>
      </c>
      <c r="I45" s="62">
        <f>I46+I47+I48</f>
        <v>588.46</v>
      </c>
    </row>
    <row r="46" spans="1:9" ht="12.75">
      <c r="A46" s="56" t="s">
        <v>94</v>
      </c>
      <c r="B46" s="66">
        <v>0</v>
      </c>
      <c r="C46" s="66">
        <v>0</v>
      </c>
      <c r="D46" s="66">
        <v>413.05</v>
      </c>
      <c r="E46" s="50" t="s">
        <v>111</v>
      </c>
      <c r="F46" s="50" t="s">
        <v>111</v>
      </c>
      <c r="G46" s="66">
        <v>0</v>
      </c>
      <c r="H46" s="50" t="s">
        <v>111</v>
      </c>
      <c r="I46" s="66">
        <v>413.05</v>
      </c>
    </row>
    <row r="47" spans="1:9" ht="76.5">
      <c r="A47" s="56" t="s">
        <v>95</v>
      </c>
      <c r="B47" s="66">
        <v>97.5</v>
      </c>
      <c r="C47" s="66">
        <v>61</v>
      </c>
      <c r="D47" s="66">
        <v>98.3</v>
      </c>
      <c r="E47" s="50" t="s">
        <v>112</v>
      </c>
      <c r="F47" s="50">
        <f aca="true" t="shared" si="4" ref="F47:F59">$D:$D/$C:$C*100</f>
        <v>161.14754098360655</v>
      </c>
      <c r="G47" s="66">
        <v>62.82</v>
      </c>
      <c r="H47" s="50">
        <f aca="true" t="shared" si="5" ref="H47:H52">$D:$D/$G:$G*100</f>
        <v>156.47882839859918</v>
      </c>
      <c r="I47" s="66">
        <v>24.38</v>
      </c>
    </row>
    <row r="48" spans="1:9" ht="12.75">
      <c r="A48" s="60" t="s">
        <v>93</v>
      </c>
      <c r="B48" s="66">
        <v>1400</v>
      </c>
      <c r="C48" s="66">
        <v>440</v>
      </c>
      <c r="D48" s="66">
        <v>838.64</v>
      </c>
      <c r="E48" s="50">
        <f aca="true" t="shared" si="6" ref="E48:E53">$D:$D/$B:$B*100</f>
        <v>59.902857142857144</v>
      </c>
      <c r="F48" s="50">
        <f t="shared" si="4"/>
        <v>190.6</v>
      </c>
      <c r="G48" s="66">
        <v>1035.17</v>
      </c>
      <c r="H48" s="50">
        <f t="shared" si="5"/>
        <v>81.01471255928978</v>
      </c>
      <c r="I48" s="66">
        <v>151.03</v>
      </c>
    </row>
    <row r="49" spans="1:9" ht="12.75">
      <c r="A49" s="53" t="s">
        <v>15</v>
      </c>
      <c r="B49" s="62">
        <v>1972.8</v>
      </c>
      <c r="C49" s="62">
        <v>1290.26</v>
      </c>
      <c r="D49" s="62">
        <v>1292.48</v>
      </c>
      <c r="E49" s="50">
        <f t="shared" si="6"/>
        <v>65.51500405515004</v>
      </c>
      <c r="F49" s="50">
        <f t="shared" si="4"/>
        <v>100.17205834482972</v>
      </c>
      <c r="G49" s="62">
        <v>5107.55</v>
      </c>
      <c r="H49" s="50">
        <f t="shared" si="5"/>
        <v>25.305283355033236</v>
      </c>
      <c r="I49" s="62">
        <v>71.26</v>
      </c>
    </row>
    <row r="50" spans="1:9" ht="63.75" hidden="1">
      <c r="A50" s="56" t="s">
        <v>126</v>
      </c>
      <c r="B50" s="66"/>
      <c r="C50" s="66"/>
      <c r="D50" s="66"/>
      <c r="E50" s="50" t="e">
        <f t="shared" si="6"/>
        <v>#DIV/0!</v>
      </c>
      <c r="F50" s="50" t="e">
        <f t="shared" si="4"/>
        <v>#DIV/0!</v>
      </c>
      <c r="G50" s="66"/>
      <c r="H50" s="50" t="e">
        <f t="shared" si="5"/>
        <v>#DIV/0!</v>
      </c>
      <c r="I50" s="66"/>
    </row>
    <row r="51" spans="1:9" ht="89.25" hidden="1">
      <c r="A51" s="56" t="s">
        <v>127</v>
      </c>
      <c r="B51" s="66"/>
      <c r="C51" s="66"/>
      <c r="D51" s="66"/>
      <c r="E51" s="50" t="e">
        <f t="shared" si="6"/>
        <v>#DIV/0!</v>
      </c>
      <c r="F51" s="50" t="e">
        <f t="shared" si="4"/>
        <v>#DIV/0!</v>
      </c>
      <c r="G51" s="66"/>
      <c r="H51" s="50" t="e">
        <f t="shared" si="5"/>
        <v>#DIV/0!</v>
      </c>
      <c r="I51" s="66"/>
    </row>
    <row r="52" spans="1:9" ht="14.25" customHeight="1" hidden="1">
      <c r="A52" s="56" t="s">
        <v>128</v>
      </c>
      <c r="B52" s="66"/>
      <c r="C52" s="66"/>
      <c r="D52" s="66"/>
      <c r="E52" s="50" t="e">
        <f t="shared" si="6"/>
        <v>#DIV/0!</v>
      </c>
      <c r="F52" s="50" t="e">
        <f t="shared" si="4"/>
        <v>#DIV/0!</v>
      </c>
      <c r="G52" s="66"/>
      <c r="H52" s="50" t="e">
        <f t="shared" si="5"/>
        <v>#DIV/0!</v>
      </c>
      <c r="I52" s="66"/>
    </row>
    <row r="53" spans="1:9" ht="63.75" hidden="1">
      <c r="A53" s="56" t="s">
        <v>129</v>
      </c>
      <c r="B53" s="66"/>
      <c r="C53" s="66"/>
      <c r="D53" s="66"/>
      <c r="E53" s="50" t="e">
        <f t="shared" si="6"/>
        <v>#DIV/0!</v>
      </c>
      <c r="F53" s="50" t="e">
        <f t="shared" si="4"/>
        <v>#DIV/0!</v>
      </c>
      <c r="G53" s="66"/>
      <c r="H53" s="50" t="s">
        <v>112</v>
      </c>
      <c r="I53" s="66"/>
    </row>
    <row r="54" spans="1:9" ht="63.75" hidden="1">
      <c r="A54" s="56" t="s">
        <v>130</v>
      </c>
      <c r="B54" s="66"/>
      <c r="C54" s="66"/>
      <c r="D54" s="66"/>
      <c r="E54" s="50" t="s">
        <v>112</v>
      </c>
      <c r="F54" s="50" t="e">
        <f t="shared" si="4"/>
        <v>#DIV/0!</v>
      </c>
      <c r="G54" s="66"/>
      <c r="H54" s="50" t="e">
        <f>$D:$D/$G:$G*100</f>
        <v>#DIV/0!</v>
      </c>
      <c r="I54" s="66"/>
    </row>
    <row r="55" spans="1:9" ht="63.75" hidden="1">
      <c r="A55" s="56" t="s">
        <v>131</v>
      </c>
      <c r="B55" s="66"/>
      <c r="C55" s="66"/>
      <c r="D55" s="66"/>
      <c r="E55" s="50" t="e">
        <f>$D:$D/$B:$B*100</f>
        <v>#DIV/0!</v>
      </c>
      <c r="F55" s="50" t="e">
        <f t="shared" si="4"/>
        <v>#DIV/0!</v>
      </c>
      <c r="G55" s="66"/>
      <c r="H55" s="50" t="e">
        <f>$D:$D/$G:$G*100</f>
        <v>#DIV/0!</v>
      </c>
      <c r="I55" s="66"/>
    </row>
    <row r="56" spans="1:9" ht="76.5" hidden="1">
      <c r="A56" s="56" t="s">
        <v>132</v>
      </c>
      <c r="B56" s="66"/>
      <c r="C56" s="66"/>
      <c r="D56" s="66"/>
      <c r="E56" s="50" t="e">
        <f>$D:$D/$B:$B*100</f>
        <v>#DIV/0!</v>
      </c>
      <c r="F56" s="50" t="e">
        <f t="shared" si="4"/>
        <v>#DIV/0!</v>
      </c>
      <c r="G56" s="66"/>
      <c r="H56" s="50" t="e">
        <f>$D:$D/$G:$G*100</f>
        <v>#DIV/0!</v>
      </c>
      <c r="I56" s="66"/>
    </row>
    <row r="57" spans="1:9" ht="52.5" customHeight="1" hidden="1">
      <c r="A57" s="56" t="s">
        <v>133</v>
      </c>
      <c r="B57" s="66"/>
      <c r="C57" s="66"/>
      <c r="D57" s="66"/>
      <c r="E57" s="50" t="e">
        <f>$D:$D/$B:$B*100</f>
        <v>#DIV/0!</v>
      </c>
      <c r="F57" s="50" t="e">
        <f t="shared" si="4"/>
        <v>#DIV/0!</v>
      </c>
      <c r="G57" s="66"/>
      <c r="H57" s="50" t="e">
        <f>$D:$D/$G:$G*100</f>
        <v>#DIV/0!</v>
      </c>
      <c r="I57" s="66"/>
    </row>
    <row r="58" spans="1:9" ht="76.5" hidden="1">
      <c r="A58" s="56" t="s">
        <v>134</v>
      </c>
      <c r="B58" s="66"/>
      <c r="C58" s="66"/>
      <c r="D58" s="66"/>
      <c r="E58" s="50" t="s">
        <v>111</v>
      </c>
      <c r="F58" s="50" t="e">
        <f t="shared" si="4"/>
        <v>#DIV/0!</v>
      </c>
      <c r="G58" s="66"/>
      <c r="H58" s="50" t="s">
        <v>111</v>
      </c>
      <c r="I58" s="66"/>
    </row>
    <row r="59" spans="1:9" ht="12.75" hidden="1">
      <c r="A59" s="56" t="s">
        <v>135</v>
      </c>
      <c r="B59" s="66"/>
      <c r="C59" s="66"/>
      <c r="D59" s="66"/>
      <c r="E59" s="50" t="e">
        <f aca="true" t="shared" si="7" ref="E59:E67">$D:$D/$B:$B*100</f>
        <v>#DIV/0!</v>
      </c>
      <c r="F59" s="50" t="e">
        <f t="shared" si="4"/>
        <v>#DIV/0!</v>
      </c>
      <c r="G59" s="66"/>
      <c r="H59" s="50" t="s">
        <v>112</v>
      </c>
      <c r="I59" s="66"/>
    </row>
    <row r="60" spans="1:9" ht="12.75">
      <c r="A60" s="52" t="s">
        <v>16</v>
      </c>
      <c r="B60" s="61">
        <v>160.35</v>
      </c>
      <c r="C60" s="61">
        <v>40</v>
      </c>
      <c r="D60" s="61">
        <v>-54.19</v>
      </c>
      <c r="E60" s="50">
        <f t="shared" si="7"/>
        <v>-33.79482382288743</v>
      </c>
      <c r="F60" s="50" t="s">
        <v>111</v>
      </c>
      <c r="G60" s="61">
        <v>53.24</v>
      </c>
      <c r="H60" s="50">
        <f aca="true" t="shared" si="8" ref="H60:H66">$D:$D/$G:$G*100</f>
        <v>-101.78437265214124</v>
      </c>
      <c r="I60" s="61">
        <v>14.58</v>
      </c>
    </row>
    <row r="61" spans="1:9" ht="12.75">
      <c r="A61" s="59" t="s">
        <v>17</v>
      </c>
      <c r="B61" s="62">
        <f>B8+B15+B20+B24+B27+B31+B34+B43+B44+B45+B60+B49</f>
        <v>442319.4799999999</v>
      </c>
      <c r="C61" s="62">
        <f>C8+C15+C20+C24+C27+C31+C34+C43+C44+C45+C60+C49</f>
        <v>155600.58000000002</v>
      </c>
      <c r="D61" s="62">
        <f>D8+D15+D20+D24+D27+D31+D34+D43+D44+D45+D60+D49</f>
        <v>154661.89</v>
      </c>
      <c r="E61" s="50">
        <f t="shared" si="7"/>
        <v>34.96610413812207</v>
      </c>
      <c r="F61" s="50">
        <f aca="true" t="shared" si="9" ref="F61:F66">$D:$D/$C:$C*100</f>
        <v>99.39673104046271</v>
      </c>
      <c r="G61" s="62">
        <f>G8+G15+G20+G24+G27+G31+G34+G43+G44+G45+G60+G49</f>
        <v>155699.99999999997</v>
      </c>
      <c r="H61" s="50">
        <f t="shared" si="8"/>
        <v>99.33326268465</v>
      </c>
      <c r="I61" s="62">
        <f>I8+I15+I20+I24+I27+I31+I34+I43+I44+I45+I60+I49</f>
        <v>24373.72</v>
      </c>
    </row>
    <row r="62" spans="1:9" ht="16.5" customHeight="1">
      <c r="A62" s="59" t="s">
        <v>18</v>
      </c>
      <c r="B62" s="62">
        <f>B63+B69+B68</f>
        <v>1996762.33</v>
      </c>
      <c r="C62" s="62">
        <f>C63+C69+C68</f>
        <v>604314.6300000001</v>
      </c>
      <c r="D62" s="62">
        <f>D63+D69+D68</f>
        <v>603906.0399999999</v>
      </c>
      <c r="E62" s="50">
        <f t="shared" si="7"/>
        <v>30.244262470636645</v>
      </c>
      <c r="F62" s="50">
        <f t="shared" si="9"/>
        <v>99.93238786888212</v>
      </c>
      <c r="G62" s="62">
        <f>G63+G69+G68</f>
        <v>578108.01</v>
      </c>
      <c r="H62" s="50">
        <f t="shared" si="8"/>
        <v>104.4624930901753</v>
      </c>
      <c r="I62" s="62">
        <f>I63+I69+I68</f>
        <v>143715.47999999998</v>
      </c>
    </row>
    <row r="63" spans="1:9" ht="25.5" customHeight="1">
      <c r="A63" s="59" t="s">
        <v>19</v>
      </c>
      <c r="B63" s="62">
        <f>B64+B65+B67+B66</f>
        <v>1999031.53</v>
      </c>
      <c r="C63" s="62">
        <f>C64+C65+C67+C66</f>
        <v>606583.8300000001</v>
      </c>
      <c r="D63" s="62">
        <f>D64+D65+D67+D66</f>
        <v>606583.85</v>
      </c>
      <c r="E63" s="50">
        <f t="shared" si="7"/>
        <v>30.343886071671918</v>
      </c>
      <c r="F63" s="50">
        <f t="shared" si="9"/>
        <v>100.00000329715348</v>
      </c>
      <c r="G63" s="62">
        <f>G64+G65+G67+G66</f>
        <v>578975.09</v>
      </c>
      <c r="H63" s="50">
        <f t="shared" si="8"/>
        <v>104.7685574866442</v>
      </c>
      <c r="I63" s="62">
        <f>I64+I65+I67+I66</f>
        <v>143721.09999999998</v>
      </c>
    </row>
    <row r="64" spans="1:9" ht="13.5" customHeight="1">
      <c r="A64" s="56" t="s">
        <v>108</v>
      </c>
      <c r="B64" s="66">
        <v>473017.9</v>
      </c>
      <c r="C64" s="66">
        <v>188527.6</v>
      </c>
      <c r="D64" s="66">
        <v>188527.6</v>
      </c>
      <c r="E64" s="50">
        <f t="shared" si="7"/>
        <v>39.8563352465097</v>
      </c>
      <c r="F64" s="50">
        <f t="shared" si="9"/>
        <v>100</v>
      </c>
      <c r="G64" s="66">
        <v>163738.28</v>
      </c>
      <c r="H64" s="50">
        <f t="shared" si="8"/>
        <v>115.13959960981634</v>
      </c>
      <c r="I64" s="66">
        <v>26293.6</v>
      </c>
    </row>
    <row r="65" spans="1:9" ht="13.5" customHeight="1">
      <c r="A65" s="56" t="s">
        <v>109</v>
      </c>
      <c r="B65" s="66">
        <v>495378.37</v>
      </c>
      <c r="C65" s="66">
        <v>29735.61</v>
      </c>
      <c r="D65" s="66">
        <v>29735.620000000003</v>
      </c>
      <c r="E65" s="50">
        <f t="shared" si="7"/>
        <v>6.002607663309966</v>
      </c>
      <c r="F65" s="50">
        <f t="shared" si="9"/>
        <v>100.000033629712</v>
      </c>
      <c r="G65" s="66">
        <v>48973.2</v>
      </c>
      <c r="H65" s="50">
        <f t="shared" si="8"/>
        <v>60.71814788496567</v>
      </c>
      <c r="I65" s="66">
        <v>9070.65</v>
      </c>
    </row>
    <row r="66" spans="1:9" ht="13.5" customHeight="1">
      <c r="A66" s="56" t="s">
        <v>110</v>
      </c>
      <c r="B66" s="66">
        <v>1010703.86</v>
      </c>
      <c r="C66" s="66">
        <v>385369.01</v>
      </c>
      <c r="D66" s="66">
        <v>385369.02</v>
      </c>
      <c r="E66" s="50">
        <f t="shared" si="7"/>
        <v>38.128776909984296</v>
      </c>
      <c r="F66" s="50">
        <f t="shared" si="9"/>
        <v>100.00000259491546</v>
      </c>
      <c r="G66" s="66">
        <v>364679.03</v>
      </c>
      <c r="H66" s="50">
        <f t="shared" si="8"/>
        <v>105.67347949784774</v>
      </c>
      <c r="I66" s="66">
        <v>105610.9</v>
      </c>
    </row>
    <row r="67" spans="1:9" ht="12.75">
      <c r="A67" s="2" t="s">
        <v>122</v>
      </c>
      <c r="B67" s="66">
        <v>19931.399999999998</v>
      </c>
      <c r="C67" s="66">
        <v>2951.6099999999997</v>
      </c>
      <c r="D67" s="66">
        <v>2951.6099999999997</v>
      </c>
      <c r="E67" s="50">
        <f t="shared" si="7"/>
        <v>14.80884433607273</v>
      </c>
      <c r="F67" s="50" t="s">
        <v>111</v>
      </c>
      <c r="G67" s="66">
        <v>1584.58</v>
      </c>
      <c r="H67" s="50" t="s">
        <v>111</v>
      </c>
      <c r="I67" s="66">
        <v>2745.95</v>
      </c>
    </row>
    <row r="68" spans="1:9" ht="12.75">
      <c r="A68" s="59" t="s">
        <v>113</v>
      </c>
      <c r="B68" s="66"/>
      <c r="C68" s="66"/>
      <c r="D68" s="66"/>
      <c r="E68" s="50" t="s">
        <v>112</v>
      </c>
      <c r="F68" s="50" t="s">
        <v>111</v>
      </c>
      <c r="G68" s="66">
        <v>0</v>
      </c>
      <c r="H68" s="50" t="s">
        <v>112</v>
      </c>
      <c r="I68" s="66"/>
    </row>
    <row r="69" spans="1:9" ht="25.5">
      <c r="A69" s="59" t="s">
        <v>21</v>
      </c>
      <c r="B69" s="61">
        <v>-2269.2</v>
      </c>
      <c r="C69" s="61">
        <v>-2269.2</v>
      </c>
      <c r="D69" s="61">
        <v>-2677.8099999999995</v>
      </c>
      <c r="E69" s="50" t="s">
        <v>112</v>
      </c>
      <c r="F69" s="50" t="s">
        <v>111</v>
      </c>
      <c r="G69" s="61">
        <v>-867.08</v>
      </c>
      <c r="H69" s="50">
        <f>$D:$D/$G:$G*100</f>
        <v>308.83078839322775</v>
      </c>
      <c r="I69" s="61">
        <v>-5.62</v>
      </c>
    </row>
    <row r="70" spans="1:9" ht="17.25" customHeight="1" hidden="1">
      <c r="A70" s="52" t="s">
        <v>20</v>
      </c>
      <c r="B70" s="62">
        <f>B62+B61</f>
        <v>2439081.81</v>
      </c>
      <c r="C70" s="62">
        <f>C62+C61</f>
        <v>759915.2100000002</v>
      </c>
      <c r="D70" s="62">
        <f>D62+D61</f>
        <v>758567.9299999999</v>
      </c>
      <c r="E70" s="50">
        <f>$D:$D/$B:$B*100</f>
        <v>31.10055295767221</v>
      </c>
      <c r="F70" s="50">
        <f>$D:$D/$C:$C*100</f>
        <v>99.82270653590415</v>
      </c>
      <c r="G70" s="62">
        <f>G62+G61</f>
        <v>733808.01</v>
      </c>
      <c r="H70" s="50">
        <f>$D:$D/$G:$G*100</f>
        <v>103.3741686739015</v>
      </c>
      <c r="I70" s="62">
        <f>I62+I61</f>
        <v>168089.19999999998</v>
      </c>
    </row>
    <row r="71" spans="1:9" ht="12.75">
      <c r="A71" s="52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83" t="s">
        <v>22</v>
      </c>
      <c r="B72" s="84"/>
      <c r="C72" s="84"/>
      <c r="D72" s="84"/>
      <c r="E72" s="84"/>
      <c r="F72" s="84"/>
      <c r="G72" s="84"/>
      <c r="H72" s="84"/>
      <c r="I72" s="85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 t="e">
        <f>I74+I75+I76+I77+I78+I79+I80+I81</f>
        <v>#REF!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 t="e">
        <f>D74-#REF!</f>
        <v>#REF!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 t="e">
        <f>D75-#REF!</f>
        <v>#REF!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 t="e">
        <f>D76-#REF!</f>
        <v>#REF!</v>
      </c>
    </row>
    <row r="77" spans="1:9" ht="12.75">
      <c r="A77" s="8" t="s">
        <v>72</v>
      </c>
      <c r="B77" s="45">
        <v>30.1</v>
      </c>
      <c r="C77" s="45">
        <v>30.1</v>
      </c>
      <c r="D77" s="45">
        <v>0</v>
      </c>
      <c r="E77" s="29">
        <v>0</v>
      </c>
      <c r="F77" s="29">
        <v>0</v>
      </c>
      <c r="G77" s="45">
        <v>0</v>
      </c>
      <c r="H77" s="29">
        <v>0</v>
      </c>
      <c r="I77" s="36" t="e">
        <f>D77-#REF!</f>
        <v>#REF!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 t="e">
        <f>D78-#REF!</f>
        <v>#REF!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 t="e">
        <f>D79-#REF!</f>
        <v>#REF!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 t="e">
        <f>D80-#REF!</f>
        <v>#REF!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 t="e">
        <f>D81-#REF!</f>
        <v>#REF!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 t="e">
        <f>D82-#REF!</f>
        <v>#REF!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 t="e">
        <f>D83-#REF!</f>
        <v>#REF!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 t="e">
        <f>I85+I86+I87+I88+I89</f>
        <v>#REF!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 t="e">
        <f>D85-#REF!</f>
        <v>#REF!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 t="e">
        <f>D86-#REF!</f>
        <v>#REF!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 t="e">
        <f>D87-#REF!</f>
        <v>#REF!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 t="e">
        <f>D88-#REF!</f>
        <v>#REF!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 t="e">
        <f>D89-#REF!</f>
        <v>#REF!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 t="e">
        <f>I92+I93+I94+I91</f>
        <v>#REF!</v>
      </c>
    </row>
    <row r="91" spans="1:9" ht="12.75">
      <c r="A91" s="8" t="s">
        <v>37</v>
      </c>
      <c r="B91" s="36">
        <v>74060</v>
      </c>
      <c r="C91" s="49">
        <v>0</v>
      </c>
      <c r="D91" s="49">
        <v>0</v>
      </c>
      <c r="E91" s="48">
        <v>0</v>
      </c>
      <c r="F91" s="29">
        <v>0</v>
      </c>
      <c r="G91" s="71">
        <v>0</v>
      </c>
      <c r="H91" s="29">
        <v>0</v>
      </c>
      <c r="I91" s="36" t="e">
        <f>D91-#REF!</f>
        <v>#REF!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 t="e">
        <f>D92-#REF!</f>
        <v>#REF!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 t="e">
        <f>D93-#REF!</f>
        <v>#REF!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 t="e">
        <f>D94-#REF!</f>
        <v>#REF!</v>
      </c>
    </row>
    <row r="95" spans="1:9" ht="12.75">
      <c r="A95" s="11" t="s">
        <v>115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143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 t="e">
        <f>I98+I99+I100+I102+I103+I101</f>
        <v>#REF!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 t="e">
        <f>D98-#REF!</f>
        <v>#REF!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 t="e">
        <f>D99-#REF!</f>
        <v>#REF!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 t="e">
        <f>D100-#REF!</f>
        <v>#REF!</v>
      </c>
    </row>
    <row r="101" spans="1:9" ht="25.5" customHeight="1">
      <c r="A101" s="8" t="s">
        <v>123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 t="e">
        <f>D101-#REF!</f>
        <v>#REF!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 t="e">
        <f>D102-#REF!</f>
        <v>#REF!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 t="e">
        <f>D103-#REF!</f>
        <v>#REF!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 t="e">
        <f>I105+I106</f>
        <v>#REF!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 t="e">
        <f>D105-#REF!</f>
        <v>#REF!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 t="e">
        <f>D106-#REF!</f>
        <v>#REF!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 t="e">
        <f>D107-#REF!</f>
        <v>#REF!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 t="e">
        <f>D108-#REF!</f>
        <v>#REF!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 t="e">
        <f>D109-#REF!</f>
        <v>#REF!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 t="e">
        <f>D110-#REF!</f>
        <v>#REF!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 t="e">
        <f>D111-#REF!</f>
        <v>#REF!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 t="e">
        <f>D112-#REF!</f>
        <v>#REF!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 t="e">
        <f>D113-#REF!</f>
        <v>#REF!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 t="e">
        <f>D114-#REF!</f>
        <v>#REF!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 t="e">
        <f>D115-#REF!</f>
        <v>#REF!</v>
      </c>
    </row>
    <row r="116" spans="1:9" ht="16.5" customHeight="1">
      <c r="A116" s="41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 t="e">
        <f>D116-#REF!</f>
        <v>#REF!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 t="e">
        <f>D117-#REF!</f>
        <v>#REF!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 t="e">
        <f>D118-#REF!</f>
        <v>#REF!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 t="e">
        <f>D119-#REF!</f>
        <v>#REF!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 t="e">
        <f>D120-#REF!</f>
        <v>#REF!</v>
      </c>
    </row>
    <row r="121" spans="1:9" ht="18.75" customHeight="1">
      <c r="A121" s="77" t="s">
        <v>55</v>
      </c>
      <c r="B121" s="75">
        <f>B73+B82+B83+B84+B90+B97+B104+B107+B109+B115+B119+B95</f>
        <v>2472458.3999999994</v>
      </c>
      <c r="C121" s="75">
        <f>C73+C82+C83+C84+C90+C97+C104+C107+C109+C115+C119+C95</f>
        <v>774254.1</v>
      </c>
      <c r="D121" s="75">
        <f>D73+D82+D83+D84+D90+D97+D104+D107+D109+D115+D119+D95</f>
        <v>725225.5000000001</v>
      </c>
      <c r="E121" s="78">
        <f>$D:$D/$B:$B*100</f>
        <v>29.332161867718394</v>
      </c>
      <c r="F121" s="78">
        <f>$D:$D/$C:$C*100</f>
        <v>93.6676344368083</v>
      </c>
      <c r="G121" s="75">
        <f>G73+G84+G90+G97+G104+G107+G109+G115+G119+G82+G83</f>
        <v>685928</v>
      </c>
      <c r="H121" s="78">
        <f>$D:$D/$G:$G*100</f>
        <v>105.7290998472143</v>
      </c>
      <c r="I121" s="75" t="e">
        <f>I73+I82+I83+I84+I90+I97+I104+I107+I109+I115+I119+I95</f>
        <v>#REF!</v>
      </c>
    </row>
    <row r="122" spans="1:9" ht="17.25" customHeight="1">
      <c r="A122" s="76" t="s">
        <v>56</v>
      </c>
      <c r="B122" s="75">
        <f>B71-B121</f>
        <v>-33376.589999999385</v>
      </c>
      <c r="C122" s="75">
        <f>C71-C121</f>
        <v>-14338.889999999781</v>
      </c>
      <c r="D122" s="75">
        <f>D71-D121</f>
        <v>33342.42999999982</v>
      </c>
      <c r="E122" s="75">
        <f>E71-E121</f>
        <v>1.7683910899538162</v>
      </c>
      <c r="F122" s="75"/>
      <c r="G122" s="75">
        <f>G71-G121</f>
        <v>47880.01000000001</v>
      </c>
      <c r="H122" s="75"/>
      <c r="I122" s="75" t="e">
        <f>D122-#REF!</f>
        <v>#REF!</v>
      </c>
    </row>
    <row r="123" spans="1:9" ht="24" customHeight="1">
      <c r="A123" s="1" t="s">
        <v>57</v>
      </c>
      <c r="B123" s="28" t="s">
        <v>124</v>
      </c>
      <c r="C123" s="28"/>
      <c r="D123" s="28" t="s">
        <v>144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 t="e">
        <f>B126+B127</f>
        <v>#REF!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75" t="e">
        <f>D124-#REF!</f>
        <v>#REF!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79" t="e">
        <f>D125-#REF!</f>
        <v>#REF!</v>
      </c>
    </row>
    <row r="126" spans="1:9" ht="12.75">
      <c r="A126" s="5" t="s">
        <v>59</v>
      </c>
      <c r="B126" s="28" t="e">
        <f>#REF!</f>
        <v>#REF!</v>
      </c>
      <c r="C126" s="28"/>
      <c r="D126" s="28">
        <v>25553</v>
      </c>
      <c r="E126" s="28"/>
      <c r="F126" s="28"/>
      <c r="G126" s="28"/>
      <c r="H126" s="37"/>
      <c r="I126" s="79" t="e">
        <f>D126-#REF!</f>
        <v>#REF!</v>
      </c>
    </row>
    <row r="127" spans="1:9" ht="12.75">
      <c r="A127" s="1" t="s">
        <v>60</v>
      </c>
      <c r="B127" s="28" t="e">
        <f>#REF!</f>
        <v>#REF!</v>
      </c>
      <c r="C127" s="28"/>
      <c r="D127" s="28">
        <v>19581</v>
      </c>
      <c r="E127" s="28"/>
      <c r="F127" s="28"/>
      <c r="G127" s="28"/>
      <c r="H127" s="37"/>
      <c r="I127" s="79" t="e">
        <f>D127-#REF!</f>
        <v>#REF!</v>
      </c>
    </row>
    <row r="128" spans="1:9" ht="12.75">
      <c r="A128" s="3" t="s">
        <v>99</v>
      </c>
      <c r="B128" s="40">
        <f>B129+B130</f>
        <v>0</v>
      </c>
      <c r="C128" s="40"/>
      <c r="D128" s="40">
        <v>0</v>
      </c>
      <c r="E128" s="40"/>
      <c r="F128" s="40"/>
      <c r="G128" s="40"/>
      <c r="H128" s="42"/>
      <c r="I128" s="79" t="e">
        <f>D128-#REF!</f>
        <v>#REF!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79" t="e">
        <f>D129-#REF!</f>
        <v>#REF!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79" t="e">
        <f>D130-#REF!</f>
        <v>#REF!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2" t="s">
        <v>139</v>
      </c>
      <c r="C136" s="24" t="s">
        <v>140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2021-11-11T05:49:39Z</cp:lastPrinted>
  <dcterms:created xsi:type="dcterms:W3CDTF">2010-09-10T01:16:58Z</dcterms:created>
  <dcterms:modified xsi:type="dcterms:W3CDTF">2022-03-09T08:25:27Z</dcterms:modified>
  <cp:category/>
  <cp:version/>
  <cp:contentType/>
  <cp:contentStatus/>
</cp:coreProperties>
</file>